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ctrlProps/ctrlProp6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7 Politik\"/>
    </mc:Choice>
  </mc:AlternateContent>
  <workbookProtection lockStructure="1"/>
  <bookViews>
    <workbookView xWindow="-15" yWindow="45" windowWidth="19155" windowHeight="5925"/>
  </bookViews>
  <sheets>
    <sheet name="Listen 1971 - 2023" sheetId="15" r:id="rId1"/>
    <sheet name="Kand. + Geschlecht 1971-2023" sheetId="4" r:id="rId2"/>
    <sheet name="Parteienstärken und Mandate" sheetId="11" r:id="rId3"/>
    <sheet name="Mandate nach Geschlecht" sheetId="5" r:id="rId4"/>
    <sheet name="Erläuterungen" sheetId="9" r:id="rId5"/>
    <sheet name="Uebersetzungen" sheetId="16" state="hidden" r:id="rId6"/>
  </sheets>
  <definedNames>
    <definedName name="_xlnm.Print_Area" localSheetId="1">'Kand. + Geschlecht 1971-2023'!$A$8:$AI$28</definedName>
    <definedName name="_xlnm.Print_Area" localSheetId="0">'Listen 1971 - 2023'!$A$8:$M$28</definedName>
    <definedName name="_xlnm.Print_Titles" localSheetId="2">'Parteienstärken und Mandate'!#REF!</definedName>
  </definedNames>
  <calcPr calcId="162913"/>
</workbook>
</file>

<file path=xl/calcChain.xml><?xml version="1.0" encoding="utf-8"?>
<calcChain xmlns="http://schemas.openxmlformats.org/spreadsheetml/2006/main">
  <c r="B19" i="9" l="1"/>
  <c r="B17" i="9" l="1"/>
  <c r="B34" i="9"/>
  <c r="B33" i="9"/>
  <c r="B29" i="9"/>
  <c r="B28" i="9"/>
  <c r="B27" i="9"/>
  <c r="B26" i="9"/>
  <c r="B25" i="9"/>
  <c r="B24" i="9"/>
  <c r="B23" i="9"/>
  <c r="B22" i="9"/>
  <c r="B21" i="9"/>
  <c r="B20" i="9"/>
  <c r="B18" i="9"/>
  <c r="B16" i="9"/>
  <c r="B15" i="9"/>
  <c r="B14" i="9"/>
  <c r="B13" i="9"/>
  <c r="B12" i="9"/>
  <c r="B11" i="9"/>
  <c r="B10" i="9"/>
  <c r="A33" i="9"/>
  <c r="A32" i="9"/>
  <c r="A29" i="9"/>
  <c r="A28" i="9"/>
  <c r="A27" i="9"/>
  <c r="A26" i="9"/>
  <c r="A24" i="9"/>
  <c r="A22" i="9"/>
  <c r="A21" i="9"/>
  <c r="A20" i="9"/>
  <c r="A18" i="9"/>
  <c r="A16" i="9"/>
  <c r="A15" i="9"/>
  <c r="A14" i="9"/>
  <c r="A12" i="9"/>
  <c r="A10" i="9"/>
  <c r="A9" i="9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23" i="5"/>
  <c r="A22" i="5"/>
  <c r="A20" i="5"/>
  <c r="A19" i="5"/>
  <c r="A18" i="5"/>
  <c r="A17" i="5"/>
  <c r="A16" i="5"/>
  <c r="A15" i="5"/>
  <c r="A14" i="5"/>
  <c r="A13" i="5"/>
  <c r="A47" i="11"/>
  <c r="A46" i="11"/>
  <c r="A44" i="11"/>
  <c r="A43" i="11"/>
  <c r="A42" i="11"/>
  <c r="A41" i="11"/>
  <c r="A40" i="11"/>
  <c r="A39" i="11"/>
  <c r="A38" i="11"/>
  <c r="A37" i="11"/>
  <c r="A36" i="11"/>
  <c r="A16" i="11"/>
  <c r="A30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5" i="11"/>
  <c r="A14" i="11"/>
  <c r="A13" i="11"/>
  <c r="A12" i="11"/>
  <c r="A31" i="4"/>
  <c r="A30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30" i="15"/>
  <c r="A29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2" i="5"/>
  <c r="A35" i="11"/>
  <c r="A11" i="11"/>
  <c r="A12" i="4"/>
  <c r="A11" i="15"/>
  <c r="A9" i="5"/>
  <c r="A9" i="11"/>
  <c r="A33" i="11"/>
  <c r="A9" i="4"/>
  <c r="A9" i="15"/>
  <c r="A7" i="9"/>
  <c r="A7" i="5"/>
  <c r="A7" i="11"/>
  <c r="A7" i="4"/>
  <c r="A7" i="15"/>
  <c r="O27" i="15" l="1"/>
  <c r="AQ20" i="5" l="1"/>
  <c r="AQ14" i="5"/>
  <c r="AQ14" i="4"/>
  <c r="AQ16" i="4"/>
  <c r="AQ17" i="4"/>
  <c r="AQ19" i="4"/>
  <c r="AQ21" i="4"/>
  <c r="AQ24" i="4"/>
  <c r="AQ26" i="4"/>
  <c r="AQ27" i="4"/>
  <c r="AC28" i="11"/>
  <c r="AQ18" i="5"/>
  <c r="AQ17" i="5"/>
  <c r="AQ16" i="5"/>
  <c r="AQ15" i="5"/>
  <c r="AQ13" i="5"/>
  <c r="AP28" i="4"/>
  <c r="AO28" i="4"/>
  <c r="AQ13" i="4"/>
  <c r="AB28" i="11"/>
  <c r="AN15" i="4"/>
  <c r="AN16" i="4"/>
  <c r="AN17" i="4"/>
  <c r="AN21" i="4"/>
  <c r="AN22" i="4"/>
  <c r="AN24" i="4"/>
  <c r="AN13" i="4"/>
  <c r="AM28" i="4"/>
  <c r="AL28" i="4"/>
  <c r="N27" i="15"/>
  <c r="AN20" i="5"/>
  <c r="AN18" i="5"/>
  <c r="AN17" i="5"/>
  <c r="AN16" i="5"/>
  <c r="AN15" i="5"/>
  <c r="AN13" i="5"/>
  <c r="AK20" i="5"/>
  <c r="AK19" i="5"/>
  <c r="AK18" i="5"/>
  <c r="AK17" i="5"/>
  <c r="AK16" i="5"/>
  <c r="AK15" i="5"/>
  <c r="AK13" i="5"/>
  <c r="AA28" i="11"/>
  <c r="M27" i="15"/>
  <c r="AH20" i="5"/>
  <c r="AH19" i="5"/>
  <c r="AH18" i="5"/>
  <c r="AH17" i="5"/>
  <c r="AH16" i="5"/>
  <c r="AH15" i="5"/>
  <c r="AH13" i="5"/>
  <c r="AE20" i="5"/>
  <c r="AE17" i="5"/>
  <c r="AE16" i="5"/>
  <c r="AE15" i="5"/>
  <c r="AE13" i="5"/>
  <c r="AB20" i="5"/>
  <c r="AB17" i="5"/>
  <c r="AB16" i="5"/>
  <c r="AB15" i="5"/>
  <c r="AB13" i="5"/>
  <c r="Y20" i="5"/>
  <c r="Y17" i="5"/>
  <c r="Y16" i="5"/>
  <c r="Y15" i="5"/>
  <c r="Y13" i="5"/>
  <c r="V20" i="5"/>
  <c r="V17" i="5"/>
  <c r="V16" i="5"/>
  <c r="V15" i="5"/>
  <c r="V13" i="5"/>
  <c r="S20" i="5"/>
  <c r="S17" i="5"/>
  <c r="S16" i="5"/>
  <c r="S15" i="5"/>
  <c r="S13" i="5"/>
  <c r="P20" i="5"/>
  <c r="P17" i="5"/>
  <c r="P16" i="5"/>
  <c r="P15" i="5"/>
  <c r="P13" i="5"/>
  <c r="M20" i="5"/>
  <c r="M17" i="5"/>
  <c r="M16" i="5"/>
  <c r="M15" i="5"/>
  <c r="M13" i="5"/>
  <c r="J20" i="5"/>
  <c r="J17" i="5"/>
  <c r="J16" i="5"/>
  <c r="J15" i="5"/>
  <c r="J13" i="5"/>
  <c r="G20" i="5"/>
  <c r="G17" i="5"/>
  <c r="G16" i="5"/>
  <c r="G15" i="5"/>
  <c r="G13" i="5"/>
  <c r="D17" i="5"/>
  <c r="D16" i="5"/>
  <c r="D15" i="5"/>
  <c r="D13" i="5"/>
  <c r="D20" i="5"/>
  <c r="AN28" i="4"/>
  <c r="AQ28" i="4" l="1"/>
</calcChain>
</file>

<file path=xl/sharedStrings.xml><?xml version="1.0" encoding="utf-8"?>
<sst xmlns="http://schemas.openxmlformats.org/spreadsheetml/2006/main" count="454" uniqueCount="262">
  <si>
    <t>FDP</t>
  </si>
  <si>
    <t>CVP</t>
  </si>
  <si>
    <t>SVP</t>
  </si>
  <si>
    <t>Total</t>
  </si>
  <si>
    <t>F</t>
  </si>
  <si>
    <t>M</t>
  </si>
  <si>
    <t>SP</t>
  </si>
  <si>
    <t>LdU</t>
  </si>
  <si>
    <t>CSP</t>
  </si>
  <si>
    <t>GLP</t>
  </si>
  <si>
    <t>FGA</t>
  </si>
  <si>
    <t>EDU</t>
  </si>
  <si>
    <t>Übrige</t>
  </si>
  <si>
    <t>Wahlbeteiligung</t>
  </si>
  <si>
    <t>F in %</t>
  </si>
  <si>
    <t>GPS</t>
  </si>
  <si>
    <t>SD</t>
  </si>
  <si>
    <t>BDP</t>
  </si>
  <si>
    <t>LPS</t>
  </si>
  <si>
    <t>Sozialdemokratische Partei der Schweiz</t>
  </si>
  <si>
    <t>Bürgerlich-Demokratische Partei</t>
  </si>
  <si>
    <t>Liberale Partei der Schweiz</t>
  </si>
  <si>
    <t>Christlichsoziale Partei</t>
  </si>
  <si>
    <t>Grünliberale Partei</t>
  </si>
  <si>
    <t>Grüne Partei der Schweiz</t>
  </si>
  <si>
    <t>Eidgenössisch-Demokratische Union</t>
  </si>
  <si>
    <t>Splittergruppen</t>
  </si>
  <si>
    <t>Christlichdemokratische Volkspartei der Schweiz</t>
  </si>
  <si>
    <t>Dem.</t>
  </si>
  <si>
    <t>Parteien, die hauptsächlich vor 1971 existierten:</t>
  </si>
  <si>
    <t>Partei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</si>
  <si>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</si>
  <si>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</si>
  <si>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</si>
  <si>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</si>
  <si>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</si>
  <si>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</si>
  <si>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</si>
  <si>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</si>
  <si>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Feministische und grün-alternative Gruppierungen (Sammelbezeichnung, 1975 – 2010)</t>
  </si>
  <si>
    <t>Demokraten (1905–1971)</t>
  </si>
  <si>
    <t>Quelle: BFS (Statistik der Nationalratswahlen)</t>
  </si>
  <si>
    <t>Nationalratswahlen Graubünden: Kandidierende nach Geschlecht</t>
  </si>
  <si>
    <t>1971 schlossen sich die Zürcher Demokraten wieder der FDP an, während sich die Glarner und Bündner Demokraten mit der Bauern-, Gewerbe- und Bürgerpartei (BGB) zur SVP vereinigten</t>
  </si>
  <si>
    <t>Parteibezeichnungen</t>
  </si>
  <si>
    <t/>
  </si>
  <si>
    <t>Nationalratswahlen Graubünden: Anzahl Wahllisten</t>
  </si>
  <si>
    <t>Die Mitte</t>
  </si>
  <si>
    <t>EVP</t>
  </si>
  <si>
    <t>Grüne</t>
  </si>
  <si>
    <t>Im Jahr 2021 fusionierte die CVP mit der BDP unter der Bezeichnung «Die Mitte».</t>
  </si>
  <si>
    <t xml:space="preserve">Früher Grüne Partei der Schweiz (GPS), bis März 2021.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</si>
  <si>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</si>
  <si>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</si>
  <si>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</si>
  <si>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</si>
  <si>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</si>
  <si>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</si>
  <si>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</si>
  <si>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</si>
  <si>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</si>
  <si>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</si>
  <si>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</si>
  <si>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</si>
  <si>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</si>
  <si>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Partida</t>
  </si>
  <si>
    <t>Partito</t>
  </si>
  <si>
    <t>&lt;Zeilentitel_1&gt;</t>
  </si>
  <si>
    <t>PLD</t>
  </si>
  <si>
    <t>PLR</t>
  </si>
  <si>
    <t>&lt;Zeilentitel_2&gt;</t>
  </si>
  <si>
    <t>Allianza dal Center</t>
  </si>
  <si>
    <t>Il Centro</t>
  </si>
  <si>
    <t>&lt;Zeilentitel_3&gt;</t>
  </si>
  <si>
    <t>PCD</t>
  </si>
  <si>
    <t>PPD</t>
  </si>
  <si>
    <t>&lt;Zeilentitel_4&gt;</t>
  </si>
  <si>
    <t>PS</t>
  </si>
  <si>
    <t>&lt;Zeilentitel_5&gt;</t>
  </si>
  <si>
    <t>PPS</t>
  </si>
  <si>
    <t>UDC</t>
  </si>
  <si>
    <t>&lt;Zeilentitel_6&gt;</t>
  </si>
  <si>
    <t>PBD</t>
  </si>
  <si>
    <t>&lt;Zeilentitel_7&gt;</t>
  </si>
  <si>
    <t>Adl</t>
  </si>
  <si>
    <t>AdI</t>
  </si>
  <si>
    <t>&lt;Zeilentitel_8&gt;</t>
  </si>
  <si>
    <t>PCS</t>
  </si>
  <si>
    <t>&lt;Zeilentitel_9&gt;</t>
  </si>
  <si>
    <t>PVL</t>
  </si>
  <si>
    <t>&lt;Zeilentitel_10&gt;</t>
  </si>
  <si>
    <t>&lt;Zeilentitel_11&gt;</t>
  </si>
  <si>
    <t>&lt;Zeilentitel_12&gt;</t>
  </si>
  <si>
    <t>PD</t>
  </si>
  <si>
    <t>&lt;Zeilentitel_13&gt;</t>
  </si>
  <si>
    <t>&lt;Zeilentitel_14&gt;</t>
  </si>
  <si>
    <t>Autras</t>
  </si>
  <si>
    <t>Altri</t>
  </si>
  <si>
    <t>&lt;Zeilentitel_15&gt;</t>
  </si>
  <si>
    <t>Totale</t>
  </si>
  <si>
    <t>T1-2</t>
  </si>
  <si>
    <t>&lt;Quelle_1&gt;</t>
  </si>
  <si>
    <t>&lt;Aktualisierung&gt;</t>
  </si>
  <si>
    <t>Letztmals aktualisiert am: 21.03.2024</t>
  </si>
  <si>
    <t>Ultima actualisaziun: 21.03.2024</t>
  </si>
  <si>
    <t>Ultimo aggiornamento: 21.03.2024</t>
  </si>
  <si>
    <t>T2</t>
  </si>
  <si>
    <t>&lt;T2Titel&gt;</t>
  </si>
  <si>
    <t>&lt;T2SpaltenTitel_1&gt;</t>
  </si>
  <si>
    <t>&lt;T2SpaltenTitel_2&gt;</t>
  </si>
  <si>
    <t>D</t>
  </si>
  <si>
    <t>&lt;T2SpaltenTitel_3&gt;</t>
  </si>
  <si>
    <t>U</t>
  </si>
  <si>
    <t>D in %</t>
  </si>
  <si>
    <t>Verdi</t>
  </si>
  <si>
    <t>T1-4</t>
  </si>
  <si>
    <t>&lt;Zeilentitel_16&gt;</t>
  </si>
  <si>
    <t>T14</t>
  </si>
  <si>
    <t>&lt;T3Titel&gt;</t>
  </si>
  <si>
    <t>Nationalratswahlen Graubünden: Parteistärken in %, seit 1919</t>
  </si>
  <si>
    <t>&lt;T3Zeilentitel_1&gt;</t>
  </si>
  <si>
    <t>&lt;T3Zeilentitel_2&gt;</t>
  </si>
  <si>
    <t>&lt;T3Zeilentitel_3&gt;</t>
  </si>
  <si>
    <t>&lt;T3Zeilentitel_4&gt;</t>
  </si>
  <si>
    <t>&lt;T3Zeilentitel_5&gt;</t>
  </si>
  <si>
    <t>&lt;T3Zeilentitel_6&gt;</t>
  </si>
  <si>
    <t>&lt;T3Zeilentitel_7&gt;</t>
  </si>
  <si>
    <t>&lt;T3Zeilentitel_8&gt;</t>
  </si>
  <si>
    <t>&lt;T3Zeilentitel_9&gt;</t>
  </si>
  <si>
    <t>&lt;T3Zeilentitel_10&gt;</t>
  </si>
  <si>
    <t>&lt;T3Zeilentitel_11&gt;</t>
  </si>
  <si>
    <t>&lt;T3Zeilentitel_12&gt;</t>
  </si>
  <si>
    <t>&lt;T3Zeilentitel_13&gt;</t>
  </si>
  <si>
    <t>&lt;T3Zeilentitel_14&gt;</t>
  </si>
  <si>
    <t>&lt;T3Zeilentitel_15&gt;</t>
  </si>
  <si>
    <t>&lt;T3Zeilentitel_16&gt;</t>
  </si>
  <si>
    <t>&lt;T3Zeilentitel_17&gt;</t>
  </si>
  <si>
    <t>&lt;T3Zeilentitel_18&gt;</t>
  </si>
  <si>
    <t>Nationalratswahlen Graubünden: Mandate seit 1919</t>
  </si>
  <si>
    <t>T2/4</t>
  </si>
  <si>
    <t>&lt;T4Zeilentitel_1&gt;</t>
  </si>
  <si>
    <t>&lt;T4Zeilentitel_2&gt;</t>
  </si>
  <si>
    <t>&lt;T4Zeilentitel_3&gt;</t>
  </si>
  <si>
    <t>&lt;T4Zeilentitel_4&gt;</t>
  </si>
  <si>
    <t>&lt;T4Zeilentitel_5&gt;</t>
  </si>
  <si>
    <t>&lt;T4Zeilentitel_6&gt;</t>
  </si>
  <si>
    <t>&lt;T4Zeilentitel_7&gt;</t>
  </si>
  <si>
    <t>&lt;T4Zeilentitel_8&gt;</t>
  </si>
  <si>
    <t>T3</t>
  </si>
  <si>
    <t>&lt;T3Titel2&gt;</t>
  </si>
  <si>
    <t>T4</t>
  </si>
  <si>
    <t>Nationalratswahlen Graubünden: Mandate nach Geschlecht, seit 1971</t>
  </si>
  <si>
    <t>T5</t>
  </si>
  <si>
    <t>&lt;T5Zeilentitel_1&gt;</t>
  </si>
  <si>
    <t>&lt;T5Zeilentitel_2&gt;</t>
  </si>
  <si>
    <t>&lt;T5Zeilentitel_3&gt;</t>
  </si>
  <si>
    <t>&lt;T5Zeilentitel_4&gt;</t>
  </si>
  <si>
    <t>&lt;T5Zeilentitel_5&gt;</t>
  </si>
  <si>
    <t>&lt;T5Zeilentitel_6&gt;</t>
  </si>
  <si>
    <t>&lt;T5Zeilentitel_7&gt;</t>
  </si>
  <si>
    <t>&lt;T5Zeilentitel_8&gt;</t>
  </si>
  <si>
    <t>&lt;T5Zeilentitel_9&gt;</t>
  </si>
  <si>
    <t>&lt;T5Zeilentitel_10&gt;</t>
  </si>
  <si>
    <t>&lt;T5Zeilentitel_11&gt;</t>
  </si>
  <si>
    <t>&lt;T5Zeilentitel_12&gt;</t>
  </si>
  <si>
    <t>&lt;T5Zeilentitel_13&gt;</t>
  </si>
  <si>
    <t>&lt;T5Zeilentitel_14&gt;</t>
  </si>
  <si>
    <t>&lt;T5Zeilentitel_15&gt;</t>
  </si>
  <si>
    <t>&lt;T5Zeilentitel_16&gt;</t>
  </si>
  <si>
    <t>&lt;T5Zeilentitel_17&gt;</t>
  </si>
  <si>
    <t>&lt;T5Zeilentitel_1.1&gt;</t>
  </si>
  <si>
    <t>&lt;T5Zeilentitel_2.1&gt;</t>
  </si>
  <si>
    <t>&lt;T5Zeilentitel_3.1&gt;</t>
  </si>
  <si>
    <t>&lt;T5Zeilentitel_3.2&gt;</t>
  </si>
  <si>
    <t>&lt;T5Zeilentitel_4.1&gt;</t>
  </si>
  <si>
    <t>&lt;T5Zeilentitel_5.1&gt;</t>
  </si>
  <si>
    <t>&lt;T5Zeilentitel_6.1&gt;</t>
  </si>
  <si>
    <t>&lt;T5Zeilentitel_6.2&gt;</t>
  </si>
  <si>
    <t>&lt;T5Zeilentitel_7.1&gt;</t>
  </si>
  <si>
    <t>&lt;T5Zeilentitel_7.2&gt;</t>
  </si>
  <si>
    <t>&lt;T5Zeilentitel_8.1&gt;</t>
  </si>
  <si>
    <t>&lt;T5Zeilentitel_9.1&gt;</t>
  </si>
  <si>
    <t>&lt;T5Zeilentitel_10.1&gt;</t>
  </si>
  <si>
    <t>&lt;T5Zeilentitel_11.1&gt;</t>
  </si>
  <si>
    <t>&lt;T5Zeilentitel_11.2&gt;</t>
  </si>
  <si>
    <t>&lt;T5Zeilentitel_10.2&gt;</t>
  </si>
  <si>
    <t>&lt;T5Zeilentitel_12.1&gt;</t>
  </si>
  <si>
    <t>&lt;T5Zeilentitel_13.1&gt;</t>
  </si>
  <si>
    <t>&lt;T5Zeilentitel_14.1&gt;</t>
  </si>
  <si>
    <t>&lt;T5Zeilentitel_15.1&gt;</t>
  </si>
  <si>
    <t>T1-5</t>
  </si>
  <si>
    <t>&lt;T4Titel&gt;</t>
  </si>
  <si>
    <t>&lt;T5Titel&gt;</t>
  </si>
  <si>
    <t>&lt;T5Zeilentitel_17.1&gt;</t>
  </si>
  <si>
    <t>&lt;T5Zeilentitel_17.2&gt;</t>
  </si>
  <si>
    <t>Elecziuns dal cussegl naziunal dal Grischun: dumber da glistas electoralas</t>
  </si>
  <si>
    <t>Elezioni del Consiglio nazionale Grigioni: numero di liste elettorali</t>
  </si>
  <si>
    <t>Funtauna: UST (statistica da las elecziuns dal Cussegl naziunal)</t>
  </si>
  <si>
    <t>Fonte: UST (statistiche delle elezioni del Consiglio nazionale)</t>
  </si>
  <si>
    <t>Elezioni del Consiglio nazionale Grigioni: candidati suddivisi per sesso</t>
  </si>
  <si>
    <t>Elecziuns dal cussegl naziunal dal Grischun: candidatas e candidats tenor schlattaina</t>
  </si>
  <si>
    <t>Elecziuns dal cussegl naziunal en il Grischun: fermezzas da las partidas en %, dapi 1919</t>
  </si>
  <si>
    <t>Elezioni del Consiglio nazionale Grigioni: percentuale dei partiti dal 1919</t>
  </si>
  <si>
    <t>Participaziun a las elecziuns</t>
  </si>
  <si>
    <t>Partecipazione alle elezioni</t>
  </si>
  <si>
    <t>Elecziuns dal cussegl naziunal dal Grischun: mandats dapi il 1919</t>
  </si>
  <si>
    <t>Elezioni del Consiglio nazionale Grigioni: mandati dal 1919</t>
  </si>
  <si>
    <t>Elezioni del Consiglio nazionale Grigioni: mandati suddivisi per sesso, dal 1971</t>
  </si>
  <si>
    <t>Elecziuns dal cussegl naziunal dal Grischun: mandats tenor schlattaina, dapi 1971</t>
  </si>
  <si>
    <t>Denominaziuns da las partidas</t>
  </si>
  <si>
    <t>Denominazioni dei partiti</t>
  </si>
  <si>
    <t xml:space="preserve">Partiti che esistevano principalmente prima del 1971:
</t>
  </si>
  <si>
    <t>Partidas ch'existivan surtut avon l'onn 1971.</t>
  </si>
  <si>
    <t>Verds</t>
  </si>
  <si>
    <t>DS</t>
  </si>
  <si>
    <t>UDF</t>
  </si>
  <si>
    <t>PES</t>
  </si>
  <si>
    <t>PLS</t>
  </si>
  <si>
    <t xml:space="preserve">L'anteriura Partida ecologica svizra (PES) fin il mars 2021. </t>
  </si>
  <si>
    <t>Partito ecologista svizzero (PES) fino marzo 2021.</t>
  </si>
  <si>
    <t>Nel 2021 PPD si è fusa con PBD assumendo il nome di "Il Centro".</t>
  </si>
  <si>
    <t>L'onn 2021 ha la PCD fusiunà cun la PBD sut il num "Allianza dal Center".</t>
  </si>
  <si>
    <t>PLD.Ils Liberals</t>
  </si>
  <si>
    <t>PLR.I liberali</t>
  </si>
  <si>
    <t>Partida ecologica svizra (PES)</t>
  </si>
  <si>
    <t>Partito ecologista svizzero (PES)</t>
  </si>
  <si>
    <t>Unione democratica federale</t>
  </si>
  <si>
    <t>Uniun democratica federala</t>
  </si>
  <si>
    <t>Gruppas da splattitscha</t>
  </si>
  <si>
    <t>Gruppi di scissioni</t>
  </si>
  <si>
    <t>Democratici (1905-1971)</t>
  </si>
  <si>
    <t>Democrats (1905-1971)</t>
  </si>
  <si>
    <t>Partida burgais-democratica</t>
  </si>
  <si>
    <t>Partito democratico borghese</t>
  </si>
  <si>
    <t>Scissione dall' UDC nel 2008</t>
  </si>
  <si>
    <t>Partì l'onn 2008 da la PPS</t>
  </si>
  <si>
    <t>Partida populara svizra </t>
  </si>
  <si>
    <t>Unione Democratica del Centro</t>
  </si>
  <si>
    <t>Partito socialista svizzero</t>
  </si>
  <si>
    <t>Partida socialdemocratica da la Svizra</t>
  </si>
  <si>
    <t>Partito Popolare Democratico</t>
  </si>
  <si>
    <t>Partida cristiandemocratica svizra</t>
  </si>
  <si>
    <t>Partito Liberale Svizzero</t>
  </si>
  <si>
    <t>Partida liberala svizra</t>
  </si>
  <si>
    <t>Fusione a livello nazionale nel 2009 con il PLR</t>
  </si>
  <si>
    <t>2009: fusione del Partito liberale radicale svizzero e del Partito liberale svizzero (LPS) a livello nazionale sotto la denominazione "PLR. I liberali"</t>
  </si>
  <si>
    <t>2009: Fusiun da la Partida liberaldemocrata svizra (PLD) e da la Partida liberala svizra (PLS) sin plaun naziunal sut la denominaziun "PLD. Ils Liberals"</t>
  </si>
  <si>
    <t>Fino al 1971: Partito dei contadini, degli artigiani e dei borghesi (PAB)</t>
  </si>
  <si>
    <t>Fin 1971: Partida da purs, mastergnanza e burgais (PMB).</t>
  </si>
  <si>
    <t>Anello degli Indipendenti (1936-1999)</t>
  </si>
  <si>
    <t>Rintg naziunal dals independents (1936 – –1999)</t>
  </si>
  <si>
    <t>Partito Cristiano Sociale</t>
  </si>
  <si>
    <t>Partida cristiansociala</t>
  </si>
  <si>
    <t>Partito Verde Liberale svizzero</t>
  </si>
  <si>
    <t>Partida Verda-Liberala</t>
  </si>
  <si>
    <t>L'onn 2004 è la partida dal PVL Turitg vegnida dividida e fundada l'onn 2007 sco partida naziunala</t>
  </si>
  <si>
    <t>Scisso dal PVL Zurigo nel 2004 e fondato come partito nazionale nel 2007.</t>
  </si>
  <si>
    <t>Gruppi femministi e alternative verdi (denominazione collettiva, 1975 – 2010)</t>
  </si>
  <si>
    <t>Gruppaziuns feministicas ed alternativas (designaziun collectiva, 1975 – 2010)</t>
  </si>
  <si>
    <t>1971 èn ils democrats da Turitg puspè sa colliads cun la Partida liberaldemocratica (PLD), entant ch'ils democrats da Glaruna e dal Grischun èn s'unids cun la Partida da purs, mastergnanza e burgais (PMB) a la Partida populara svizra (PPS).</t>
  </si>
  <si>
    <t>Nel 1971 i democratici di Zurigo si unirono nuovamente al PLR, mentre i democratici di Glarona e Grigioni si unirono con il Partito dei contadini, degli artigiani e dei borghesi (PAB) per formare l'UDC.</t>
  </si>
  <si>
    <t>L' onn 2009 fusiunà cun la PLD sin plaun naziunal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</si>
</sst>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  &quot;@"/>
    <numFmt numFmtId="165" formatCode="0.0&quot;     &quot;"/>
    <numFmt numFmtId="166" formatCode="0.0"/>
    <numFmt numFmtId="167" formatCode="0.0&quot;       &quot;"/>
    <numFmt numFmtId="168" formatCode="@&quot;  &quot;"/>
    <numFmt numFmtId="169" formatCode="0.0&quot; &quot;"/>
    <numFmt numFmtId="170" formatCode="0&quot; &quot;"/>
    <numFmt numFmtId="171" formatCode="0&quot;  &quot;"/>
    <numFmt numFmtId="172" formatCode="0&quot;   &quot;;\–\ 0&quot;   &quot;;\–&quot;   &quot;"/>
  </numFmts>
  <fonts count="19" x14ac:knownFonts="1">
    <font>
      <sz val="8"/>
      <name val="Arial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.5"/>
      <name val="Helv"/>
    </font>
    <font>
      <sz val="10"/>
      <name val="MS Sans Serif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sz val="8"/>
      <color rgb="FF000000"/>
      <name val="Segoe UI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0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5" fillId="0" borderId="0" xfId="0" applyFont="1"/>
    <xf numFmtId="0" fontId="6" fillId="2" borderId="0" xfId="1" applyNumberFormat="1" applyFont="1" applyFill="1" applyBorder="1" applyAlignment="1" applyProtection="1">
      <alignment horizontal="right"/>
    </xf>
    <xf numFmtId="0" fontId="5" fillId="0" borderId="0" xfId="0" applyFont="1" applyFill="1"/>
    <xf numFmtId="0" fontId="7" fillId="4" borderId="0" xfId="0" applyFont="1" applyFill="1"/>
    <xf numFmtId="0" fontId="5" fillId="4" borderId="0" xfId="0" applyFont="1" applyFill="1"/>
    <xf numFmtId="0" fontId="7" fillId="0" borderId="0" xfId="0" applyFont="1"/>
    <xf numFmtId="0" fontId="5" fillId="0" borderId="0" xfId="0" applyFont="1" applyAlignment="1">
      <alignment horizontal="left" indent="1"/>
    </xf>
    <xf numFmtId="0" fontId="13" fillId="4" borderId="0" xfId="0" applyFont="1" applyFill="1" applyAlignment="1">
      <alignment horizontal="justify"/>
    </xf>
    <xf numFmtId="0" fontId="12" fillId="4" borderId="0" xfId="0" applyFont="1" applyFill="1"/>
    <xf numFmtId="0" fontId="7" fillId="0" borderId="0" xfId="0" applyFont="1" applyFill="1"/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/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NumberFormat="1" applyFont="1" applyFill="1" applyBorder="1"/>
    <xf numFmtId="0" fontId="5" fillId="2" borderId="0" xfId="0" applyFont="1" applyFill="1" applyBorder="1"/>
    <xf numFmtId="0" fontId="7" fillId="0" borderId="0" xfId="0" applyNumberFormat="1" applyFont="1" applyFill="1" applyBorder="1"/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left"/>
    </xf>
    <xf numFmtId="167" fontId="5" fillId="0" borderId="0" xfId="0" applyNumberFormat="1" applyFont="1" applyFill="1" applyBorder="1"/>
    <xf numFmtId="168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5" fillId="2" borderId="0" xfId="0" applyFont="1" applyFill="1" applyBorder="1" applyAlignment="1"/>
    <xf numFmtId="169" fontId="5" fillId="0" borderId="0" xfId="0" applyNumberFormat="1" applyFont="1" applyFill="1" applyAlignment="1">
      <alignment horizontal="right"/>
    </xf>
    <xf numFmtId="171" fontId="5" fillId="2" borderId="1" xfId="0" applyNumberFormat="1" applyFont="1" applyFill="1" applyBorder="1" applyAlignment="1"/>
    <xf numFmtId="170" fontId="5" fillId="0" borderId="1" xfId="0" applyNumberFormat="1" applyFont="1" applyFill="1" applyBorder="1" applyAlignment="1"/>
    <xf numFmtId="169" fontId="5" fillId="0" borderId="5" xfId="0" applyNumberFormat="1" applyFont="1" applyFill="1" applyBorder="1" applyAlignment="1"/>
    <xf numFmtId="170" fontId="5" fillId="0" borderId="7" xfId="0" applyNumberFormat="1" applyFont="1" applyFill="1" applyBorder="1" applyAlignment="1"/>
    <xf numFmtId="171" fontId="5" fillId="2" borderId="8" xfId="0" applyNumberFormat="1" applyFont="1" applyFill="1" applyBorder="1" applyAlignment="1"/>
    <xf numFmtId="171" fontId="5" fillId="2" borderId="7" xfId="0" applyNumberFormat="1" applyFont="1" applyFill="1" applyBorder="1" applyAlignment="1"/>
    <xf numFmtId="171" fontId="5" fillId="2" borderId="11" xfId="0" applyNumberFormat="1" applyFont="1" applyFill="1" applyBorder="1" applyAlignment="1"/>
    <xf numFmtId="170" fontId="5" fillId="0" borderId="12" xfId="0" applyNumberFormat="1" applyFont="1" applyFill="1" applyBorder="1" applyAlignment="1"/>
    <xf numFmtId="169" fontId="5" fillId="0" borderId="13" xfId="0" applyNumberFormat="1" applyFont="1" applyFill="1" applyBorder="1" applyAlignment="1">
      <alignment horizontal="right"/>
    </xf>
    <xf numFmtId="169" fontId="5" fillId="0" borderId="14" xfId="0" applyNumberFormat="1" applyFont="1" applyFill="1" applyBorder="1" applyAlignment="1">
      <alignment horizontal="right"/>
    </xf>
    <xf numFmtId="170" fontId="5" fillId="0" borderId="13" xfId="0" applyNumberFormat="1" applyFont="1" applyFill="1" applyBorder="1" applyAlignment="1">
      <alignment horizontal="right"/>
    </xf>
    <xf numFmtId="170" fontId="5" fillId="0" borderId="15" xfId="0" applyNumberFormat="1" applyFont="1" applyFill="1" applyBorder="1" applyAlignment="1">
      <alignment horizontal="right"/>
    </xf>
    <xf numFmtId="0" fontId="7" fillId="2" borderId="0" xfId="0" applyFont="1" applyFill="1" applyAlignment="1"/>
    <xf numFmtId="0" fontId="5" fillId="2" borderId="0" xfId="0" applyFont="1" applyFill="1" applyAlignment="1"/>
    <xf numFmtId="0" fontId="5" fillId="2" borderId="0" xfId="0" applyNumberFormat="1" applyFont="1" applyFill="1" applyBorder="1" applyAlignment="1"/>
    <xf numFmtId="0" fontId="5" fillId="0" borderId="0" xfId="0" applyFont="1" applyAlignment="1"/>
    <xf numFmtId="0" fontId="8" fillId="4" borderId="0" xfId="0" applyFont="1" applyFill="1"/>
    <xf numFmtId="0" fontId="9" fillId="4" borderId="0" xfId="0" applyFont="1" applyFill="1"/>
    <xf numFmtId="0" fontId="8" fillId="4" borderId="0" xfId="0" applyFont="1" applyFill="1" applyBorder="1"/>
    <xf numFmtId="0" fontId="9" fillId="4" borderId="0" xfId="0" applyFont="1" applyFill="1" applyBorder="1"/>
    <xf numFmtId="0" fontId="9" fillId="4" borderId="0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vertical="center"/>
    </xf>
    <xf numFmtId="172" fontId="5" fillId="2" borderId="1" xfId="0" applyNumberFormat="1" applyFont="1" applyFill="1" applyBorder="1" applyAlignment="1">
      <alignment horizontal="right"/>
    </xf>
    <xf numFmtId="171" fontId="5" fillId="2" borderId="22" xfId="0" applyNumberFormat="1" applyFont="1" applyFill="1" applyBorder="1" applyAlignment="1"/>
    <xf numFmtId="172" fontId="5" fillId="2" borderId="5" xfId="0" applyNumberFormat="1" applyFont="1" applyFill="1" applyBorder="1" applyAlignment="1">
      <alignment horizontal="right"/>
    </xf>
    <xf numFmtId="171" fontId="5" fillId="2" borderId="5" xfId="0" applyNumberFormat="1" applyFont="1" applyFill="1" applyBorder="1" applyAlignment="1"/>
    <xf numFmtId="171" fontId="5" fillId="2" borderId="23" xfId="0" applyNumberFormat="1" applyFont="1" applyFill="1" applyBorder="1" applyAlignment="1"/>
    <xf numFmtId="0" fontId="8" fillId="6" borderId="0" xfId="0" applyFont="1" applyFill="1" applyBorder="1" applyAlignment="1">
      <alignment horizontal="left" vertical="top" wrapText="1"/>
    </xf>
    <xf numFmtId="0" fontId="15" fillId="7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8" fillId="7" borderId="0" xfId="0" applyFont="1" applyFill="1" applyBorder="1" applyAlignment="1">
      <alignment horizontal="left" vertical="top" wrapText="1"/>
    </xf>
    <xf numFmtId="0" fontId="15" fillId="7" borderId="0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>
      <alignment horizontal="left" vertical="top" wrapText="1"/>
    </xf>
    <xf numFmtId="0" fontId="15" fillId="8" borderId="0" xfId="0" applyFont="1" applyFill="1" applyBorder="1" applyAlignment="1">
      <alignment horizontal="left" vertical="top" wrapText="1"/>
    </xf>
    <xf numFmtId="0" fontId="15" fillId="8" borderId="0" xfId="0" applyFont="1" applyFill="1" applyBorder="1" applyAlignment="1">
      <alignment wrapText="1"/>
    </xf>
    <xf numFmtId="0" fontId="15" fillId="4" borderId="0" xfId="0" applyFont="1" applyFill="1"/>
    <xf numFmtId="0" fontId="0" fillId="4" borderId="0" xfId="0" applyFill="1"/>
    <xf numFmtId="0" fontId="15" fillId="0" borderId="0" xfId="0" applyFont="1" applyFill="1"/>
    <xf numFmtId="0" fontId="15" fillId="0" borderId="0" xfId="0" applyFont="1"/>
    <xf numFmtId="0" fontId="5" fillId="0" borderId="0" xfId="0" applyFont="1" applyAlignment="1">
      <alignment wrapText="1"/>
    </xf>
    <xf numFmtId="0" fontId="13" fillId="4" borderId="0" xfId="0" applyFont="1" applyFill="1" applyAlignment="1">
      <alignment horizontal="justify" vertical="top"/>
    </xf>
    <xf numFmtId="171" fontId="5" fillId="10" borderId="9" xfId="0" applyNumberFormat="1" applyFont="1" applyFill="1" applyBorder="1" applyAlignment="1">
      <alignment vertical="center"/>
    </xf>
    <xf numFmtId="170" fontId="5" fillId="10" borderId="17" xfId="0" applyNumberFormat="1" applyFont="1" applyFill="1" applyBorder="1" applyAlignment="1">
      <alignment vertical="center"/>
    </xf>
    <xf numFmtId="170" fontId="5" fillId="10" borderId="9" xfId="0" applyNumberFormat="1" applyFont="1" applyFill="1" applyBorder="1" applyAlignment="1">
      <alignment vertical="center"/>
    </xf>
    <xf numFmtId="166" fontId="5" fillId="10" borderId="10" xfId="0" applyNumberFormat="1" applyFont="1" applyFill="1" applyBorder="1" applyAlignment="1">
      <alignment vertical="center"/>
    </xf>
    <xf numFmtId="171" fontId="5" fillId="10" borderId="2" xfId="0" applyNumberFormat="1" applyFont="1" applyFill="1" applyBorder="1" applyAlignment="1">
      <alignment horizontal="right" vertical="center"/>
    </xf>
    <xf numFmtId="171" fontId="5" fillId="10" borderId="3" xfId="0" applyNumberFormat="1" applyFont="1" applyFill="1" applyBorder="1" applyAlignment="1">
      <alignment horizontal="right" vertical="center"/>
    </xf>
    <xf numFmtId="171" fontId="5" fillId="10" borderId="4" xfId="0" applyNumberFormat="1" applyFont="1" applyFill="1" applyBorder="1" applyAlignment="1">
      <alignment horizontal="right" vertical="center"/>
    </xf>
    <xf numFmtId="171" fontId="5" fillId="10" borderId="9" xfId="0" applyNumberFormat="1" applyFont="1" applyFill="1" applyBorder="1" applyAlignment="1">
      <alignment horizontal="right" vertical="center"/>
    </xf>
    <xf numFmtId="171" fontId="5" fillId="10" borderId="6" xfId="0" applyNumberFormat="1" applyFont="1" applyFill="1" applyBorder="1" applyAlignment="1">
      <alignment horizontal="right" vertical="center"/>
    </xf>
    <xf numFmtId="169" fontId="5" fillId="10" borderId="4" xfId="0" applyNumberFormat="1" applyFont="1" applyFill="1" applyBorder="1" applyAlignment="1">
      <alignment horizontal="right" vertical="center"/>
    </xf>
    <xf numFmtId="169" fontId="5" fillId="10" borderId="3" xfId="0" applyNumberFormat="1" applyFont="1" applyFill="1" applyBorder="1" applyAlignment="1">
      <alignment horizontal="right" vertical="center"/>
    </xf>
    <xf numFmtId="169" fontId="5" fillId="10" borderId="9" xfId="0" applyNumberFormat="1" applyFont="1" applyFill="1" applyBorder="1" applyAlignment="1">
      <alignment horizontal="right" vertical="center"/>
    </xf>
    <xf numFmtId="169" fontId="5" fillId="10" borderId="6" xfId="0" applyNumberFormat="1" applyFont="1" applyFill="1" applyBorder="1" applyAlignment="1">
      <alignment horizontal="right" vertical="center"/>
    </xf>
    <xf numFmtId="170" fontId="5" fillId="10" borderId="16" xfId="0" applyNumberFormat="1" applyFont="1" applyFill="1" applyBorder="1" applyAlignment="1">
      <alignment horizontal="right" vertical="center"/>
    </xf>
    <xf numFmtId="170" fontId="5" fillId="10" borderId="2" xfId="0" applyNumberFormat="1" applyFont="1" applyFill="1" applyBorder="1" applyAlignment="1">
      <alignment vertical="center"/>
    </xf>
    <xf numFmtId="170" fontId="5" fillId="10" borderId="3" xfId="0" applyNumberFormat="1" applyFont="1" applyFill="1" applyBorder="1" applyAlignment="1">
      <alignment vertical="center"/>
    </xf>
    <xf numFmtId="166" fontId="5" fillId="10" borderId="6" xfId="0" applyNumberFormat="1" applyFont="1" applyFill="1" applyBorder="1" applyAlignment="1">
      <alignment vertical="center"/>
    </xf>
    <xf numFmtId="170" fontId="5" fillId="10" borderId="4" xfId="0" applyNumberFormat="1" applyFont="1" applyFill="1" applyBorder="1" applyAlignment="1">
      <alignment vertical="center"/>
    </xf>
    <xf numFmtId="171" fontId="5" fillId="10" borderId="10" xfId="0" applyNumberFormat="1" applyFont="1" applyFill="1" applyBorder="1" applyAlignment="1">
      <alignment vertical="center"/>
    </xf>
    <xf numFmtId="0" fontId="5" fillId="5" borderId="18" xfId="0" applyNumberFormat="1" applyFont="1" applyFill="1" applyBorder="1" applyAlignment="1">
      <alignment horizontal="center" vertical="center"/>
    </xf>
    <xf numFmtId="0" fontId="5" fillId="5" borderId="19" xfId="0" applyNumberFormat="1" applyFont="1" applyFill="1" applyBorder="1" applyAlignment="1">
      <alignment horizontal="left" vertical="center"/>
    </xf>
    <xf numFmtId="0" fontId="5" fillId="5" borderId="16" xfId="0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left"/>
    </xf>
    <xf numFmtId="0" fontId="5" fillId="10" borderId="16" xfId="0" applyNumberFormat="1" applyFont="1" applyFill="1" applyBorder="1" applyAlignment="1">
      <alignment vertical="center"/>
    </xf>
    <xf numFmtId="0" fontId="5" fillId="5" borderId="17" xfId="0" applyNumberFormat="1" applyFont="1" applyFill="1" applyBorder="1" applyAlignment="1">
      <alignment horizontal="left" vertical="center"/>
    </xf>
    <xf numFmtId="165" fontId="5" fillId="10" borderId="16" xfId="0" applyNumberFormat="1" applyFont="1" applyFill="1" applyBorder="1" applyAlignment="1">
      <alignment horizontal="left" vertical="center"/>
    </xf>
    <xf numFmtId="0" fontId="5" fillId="10" borderId="10" xfId="0" applyNumberFormat="1" applyFont="1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left" vertical="center"/>
    </xf>
    <xf numFmtId="0" fontId="5" fillId="9" borderId="16" xfId="0" applyNumberFormat="1" applyFont="1" applyFill="1" applyBorder="1" applyAlignment="1">
      <alignment horizontal="left" vertical="center"/>
    </xf>
    <xf numFmtId="0" fontId="5" fillId="5" borderId="10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4" borderId="0" xfId="0" applyFont="1" applyFill="1" applyBorder="1" applyAlignment="1">
      <alignment horizontal="left" vertical="top" wrapText="1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/>
    </xf>
  </cellXfs>
  <cellStyles count="7">
    <cellStyle name="Link" xfId="1" builtinId="8"/>
    <cellStyle name="Normal_NRW 1971 Listes" xfId="2"/>
    <cellStyle name="Standard" xfId="0" builtinId="0"/>
    <cellStyle name="Standard 2" xfId="3"/>
    <cellStyle name="Standard 3" xfId="4"/>
    <cellStyle name="Standard 6 3 2" xfId="5"/>
    <cellStyle name="Standard 7 2 2" xfId="6"/>
  </cellStyles>
  <dxfs count="0"/>
  <tableStyles count="0" defaultTableStyle="TableStyleMedium9" defaultPivotStyle="PivotStyleLight16"/>
  <colors>
    <mruColors>
      <color rgb="FFDDD9C4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101600</xdr:colOff>
      <xdr:row>5</xdr:row>
      <xdr:rowOff>13727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0</xdr:row>
      <xdr:rowOff>19050</xdr:rowOff>
    </xdr:from>
    <xdr:to>
      <xdr:col>10</xdr:col>
      <xdr:colOff>396900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34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120650</xdr:colOff>
      <xdr:row>5</xdr:row>
      <xdr:rowOff>13727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0</xdr:row>
      <xdr:rowOff>19050</xdr:rowOff>
    </xdr:from>
    <xdr:to>
      <xdr:col>18</xdr:col>
      <xdr:colOff>387375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4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273050</xdr:colOff>
      <xdr:row>5</xdr:row>
      <xdr:rowOff>13727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10</xdr:col>
      <xdr:colOff>209550</xdr:colOff>
      <xdr:row>0</xdr:row>
      <xdr:rowOff>19050</xdr:rowOff>
    </xdr:from>
    <xdr:to>
      <xdr:col>16</xdr:col>
      <xdr:colOff>149250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305425" y="19050"/>
          <a:ext cx="234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34925</xdr:colOff>
      <xdr:row>5</xdr:row>
      <xdr:rowOff>13727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0</xdr:row>
      <xdr:rowOff>19050</xdr:rowOff>
    </xdr:from>
    <xdr:to>
      <xdr:col>18</xdr:col>
      <xdr:colOff>187350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4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4121150</xdr:colOff>
      <xdr:row>5</xdr:row>
      <xdr:rowOff>13727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1</xdr:col>
      <xdr:colOff>4133850</xdr:colOff>
      <xdr:row>0</xdr:row>
      <xdr:rowOff>9525</xdr:rowOff>
    </xdr:from>
    <xdr:to>
      <xdr:col>3</xdr:col>
      <xdr:colOff>44475</xdr:colOff>
      <xdr:row>4</xdr:row>
      <xdr:rowOff>135998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9525"/>
          <a:ext cx="234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/>
  </sheetViews>
  <sheetFormatPr baseColWidth="10" defaultRowHeight="14.25" x14ac:dyDescent="0.2"/>
  <cols>
    <col min="1" max="1" width="14.83203125" style="1" customWidth="1"/>
    <col min="2" max="2" width="10.33203125" style="1" customWidth="1"/>
    <col min="3" max="16384" width="12" style="1"/>
  </cols>
  <sheetData>
    <row r="1" spans="1:15" s="65" customFormat="1" ht="12.75" x14ac:dyDescent="0.2"/>
    <row r="2" spans="1:15" s="65" customFormat="1" ht="15.75" x14ac:dyDescent="0.25">
      <c r="B2" s="47"/>
      <c r="C2" s="66"/>
      <c r="D2" s="66"/>
    </row>
    <row r="3" spans="1:15" s="65" customFormat="1" ht="15.75" x14ac:dyDescent="0.25">
      <c r="B3" s="47"/>
      <c r="C3" s="66"/>
      <c r="D3" s="66"/>
    </row>
    <row r="4" spans="1:15" s="65" customFormat="1" ht="15.75" x14ac:dyDescent="0.25">
      <c r="B4" s="47"/>
      <c r="C4" s="66"/>
      <c r="D4" s="66"/>
    </row>
    <row r="5" spans="1:15" s="65" customFormat="1" ht="12.75" x14ac:dyDescent="0.2"/>
    <row r="6" spans="1:15" s="46" customFormat="1" ht="12.75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15" s="48" customFormat="1" ht="15.75" x14ac:dyDescent="0.25">
      <c r="A7" s="104" t="str">
        <f>VLOOKUP("&lt;Fachbereich&gt;",Uebersetzungen!$B$3:$E$31,Uebersetzungen!$B$2+1,FALSE)</f>
        <v>Daten &amp; Statistik</v>
      </c>
      <c r="B7" s="104"/>
      <c r="C7" s="104"/>
      <c r="D7" s="104"/>
      <c r="E7" s="49"/>
      <c r="F7" s="49"/>
      <c r="G7" s="49"/>
      <c r="H7" s="49"/>
      <c r="I7" s="49"/>
    </row>
    <row r="8" spans="1:15" s="5" customFormat="1" ht="15" x14ac:dyDescent="0.25">
      <c r="A8" s="12"/>
      <c r="B8" s="4"/>
      <c r="C8" s="4"/>
    </row>
    <row r="9" spans="1:15" s="13" customFormat="1" ht="14.1" customHeight="1" x14ac:dyDescent="0.2">
      <c r="A9" s="51" t="str">
        <f>VLOOKUP("&lt;Titel&gt;",Uebersetzungen!$B$3:$E$31,Uebersetzungen!$B$2+1,FALSE)</f>
        <v>Nationalratswahlen Graubünden: Anzahl Wahllisten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5" s="5" customFormat="1" x14ac:dyDescent="0.2">
      <c r="A10" s="16"/>
      <c r="L10" s="17"/>
    </row>
    <row r="11" spans="1:15" s="13" customFormat="1" ht="18" customHeight="1" x14ac:dyDescent="0.2">
      <c r="A11" s="100" t="str">
        <f>VLOOKUP("&lt;SpaltenTitel_1&gt;",Uebersetzungen!$B$3:$E$31,Uebersetzungen!$B$2+1,FALSE)</f>
        <v>Partei</v>
      </c>
      <c r="B11" s="101">
        <v>1971</v>
      </c>
      <c r="C11" s="92">
        <v>1975</v>
      </c>
      <c r="D11" s="92">
        <v>1979</v>
      </c>
      <c r="E11" s="92">
        <v>1983</v>
      </c>
      <c r="F11" s="92">
        <v>1987</v>
      </c>
      <c r="G11" s="92">
        <v>1991</v>
      </c>
      <c r="H11" s="92">
        <v>1995</v>
      </c>
      <c r="I11" s="92">
        <v>1999</v>
      </c>
      <c r="J11" s="92">
        <v>2003</v>
      </c>
      <c r="K11" s="102">
        <v>2007</v>
      </c>
      <c r="L11" s="92">
        <v>2011</v>
      </c>
      <c r="M11" s="92">
        <v>2015</v>
      </c>
      <c r="N11" s="92">
        <v>2019</v>
      </c>
      <c r="O11" s="92">
        <v>2023</v>
      </c>
    </row>
    <row r="12" spans="1:15" s="5" customFormat="1" x14ac:dyDescent="0.2">
      <c r="A12" s="93" t="str">
        <f>VLOOKUP("&lt;Zeilentitel_1&gt;",Uebersetzungen!$B$3:$E$31,Uebersetzungen!$B$2+1,FALSE)</f>
        <v>FDP</v>
      </c>
      <c r="B12" s="35">
        <v>1</v>
      </c>
      <c r="C12" s="30">
        <v>1</v>
      </c>
      <c r="D12" s="30">
        <v>1</v>
      </c>
      <c r="E12" s="30">
        <v>1</v>
      </c>
      <c r="F12" s="30">
        <v>1</v>
      </c>
      <c r="G12" s="30">
        <v>1</v>
      </c>
      <c r="H12" s="30">
        <v>1</v>
      </c>
      <c r="I12" s="30">
        <v>2</v>
      </c>
      <c r="J12" s="30">
        <v>2</v>
      </c>
      <c r="K12" s="30">
        <v>3</v>
      </c>
      <c r="L12" s="52">
        <v>2</v>
      </c>
      <c r="M12" s="52">
        <v>3</v>
      </c>
      <c r="N12" s="52">
        <v>4</v>
      </c>
      <c r="O12" s="54">
        <v>3</v>
      </c>
    </row>
    <row r="13" spans="1:15" s="5" customFormat="1" x14ac:dyDescent="0.2">
      <c r="A13" s="93" t="str">
        <f>VLOOKUP("&lt;Zeilentitel_2&gt;",Uebersetzungen!$B$3:$E$31,Uebersetzungen!$B$2+1,FALSE)</f>
        <v>Die Mitte</v>
      </c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52"/>
      <c r="M13" s="52"/>
      <c r="N13" s="52"/>
      <c r="O13" s="54">
        <v>4</v>
      </c>
    </row>
    <row r="14" spans="1:15" s="5" customFormat="1" x14ac:dyDescent="0.2">
      <c r="A14" s="93" t="str">
        <f>VLOOKUP("&lt;Zeilentitel_3&gt;",Uebersetzungen!$B$3:$E$31,Uebersetzungen!$B$2+1,FALSE)</f>
        <v>CVP</v>
      </c>
      <c r="B14" s="35">
        <v>1</v>
      </c>
      <c r="C14" s="30">
        <v>1</v>
      </c>
      <c r="D14" s="30">
        <v>1</v>
      </c>
      <c r="E14" s="30">
        <v>1</v>
      </c>
      <c r="F14" s="30">
        <v>1</v>
      </c>
      <c r="G14" s="30">
        <v>1</v>
      </c>
      <c r="H14" s="30">
        <v>2</v>
      </c>
      <c r="I14" s="30">
        <v>3</v>
      </c>
      <c r="J14" s="30">
        <v>2</v>
      </c>
      <c r="K14" s="30">
        <v>3</v>
      </c>
      <c r="L14" s="52">
        <v>2</v>
      </c>
      <c r="M14" s="52">
        <v>2</v>
      </c>
      <c r="N14" s="52">
        <v>3</v>
      </c>
      <c r="O14" s="54"/>
    </row>
    <row r="15" spans="1:15" s="5" customFormat="1" x14ac:dyDescent="0.2">
      <c r="A15" s="93" t="str">
        <f>VLOOKUP("&lt;Zeilentitel_4&gt;",Uebersetzungen!$B$3:$E$31,Uebersetzungen!$B$2+1,FALSE)</f>
        <v>SP</v>
      </c>
      <c r="B15" s="35">
        <v>1</v>
      </c>
      <c r="C15" s="30">
        <v>1</v>
      </c>
      <c r="D15" s="30">
        <v>1</v>
      </c>
      <c r="E15" s="30">
        <v>1</v>
      </c>
      <c r="F15" s="30">
        <v>1</v>
      </c>
      <c r="G15" s="30">
        <v>1</v>
      </c>
      <c r="H15" s="30">
        <v>1</v>
      </c>
      <c r="I15" s="30">
        <v>2</v>
      </c>
      <c r="J15" s="30">
        <v>2</v>
      </c>
      <c r="K15" s="30">
        <v>3</v>
      </c>
      <c r="L15" s="52">
        <v>2</v>
      </c>
      <c r="M15" s="52">
        <v>2</v>
      </c>
      <c r="N15" s="52">
        <v>3</v>
      </c>
      <c r="O15" s="54">
        <v>3</v>
      </c>
    </row>
    <row r="16" spans="1:15" s="5" customFormat="1" x14ac:dyDescent="0.2">
      <c r="A16" s="93" t="str">
        <f>VLOOKUP("&lt;Zeilentitel_5&gt;",Uebersetzungen!$B$3:$E$31,Uebersetzungen!$B$2+1,FALSE)</f>
        <v>SVP</v>
      </c>
      <c r="B16" s="35">
        <v>1</v>
      </c>
      <c r="C16" s="30">
        <v>1</v>
      </c>
      <c r="D16" s="30">
        <v>2</v>
      </c>
      <c r="E16" s="30">
        <v>1</v>
      </c>
      <c r="F16" s="30">
        <v>1</v>
      </c>
      <c r="G16" s="30">
        <v>1</v>
      </c>
      <c r="H16" s="30">
        <v>2</v>
      </c>
      <c r="I16" s="30">
        <v>2</v>
      </c>
      <c r="J16" s="30">
        <v>2</v>
      </c>
      <c r="K16" s="30">
        <v>2</v>
      </c>
      <c r="L16" s="52">
        <v>4</v>
      </c>
      <c r="M16" s="52">
        <v>4</v>
      </c>
      <c r="N16" s="52">
        <v>5</v>
      </c>
      <c r="O16" s="54">
        <v>5</v>
      </c>
    </row>
    <row r="17" spans="1:15" s="5" customFormat="1" x14ac:dyDescent="0.2">
      <c r="A17" s="93" t="str">
        <f>VLOOKUP("&lt;Zeilentitel_6&gt;",Uebersetzungen!$B$3:$E$31,Uebersetzungen!$B$2+1,FALSE)</f>
        <v>LdU</v>
      </c>
      <c r="B17" s="35"/>
      <c r="C17" s="30"/>
      <c r="D17" s="30"/>
      <c r="E17" s="30"/>
      <c r="F17" s="30"/>
      <c r="G17" s="30"/>
      <c r="H17" s="30">
        <v>1</v>
      </c>
      <c r="I17" s="30"/>
      <c r="J17" s="30"/>
      <c r="K17" s="30"/>
      <c r="L17" s="30"/>
      <c r="M17" s="30"/>
      <c r="N17" s="30"/>
      <c r="O17" s="55"/>
    </row>
    <row r="18" spans="1:15" s="5" customFormat="1" x14ac:dyDescent="0.2">
      <c r="A18" s="93" t="str">
        <f>VLOOKUP("&lt;Zeilentitel_7&gt;",Uebersetzungen!$B$3:$E$31,Uebersetzungen!$B$2+1,FALSE)</f>
        <v>EVP</v>
      </c>
      <c r="B18" s="35"/>
      <c r="C18" s="30"/>
      <c r="D18" s="30"/>
      <c r="E18" s="30"/>
      <c r="F18" s="30"/>
      <c r="G18" s="30"/>
      <c r="H18" s="30"/>
      <c r="I18" s="30"/>
      <c r="J18" s="30"/>
      <c r="K18" s="30"/>
      <c r="L18" s="52"/>
      <c r="M18" s="52"/>
      <c r="N18" s="52"/>
      <c r="O18" s="54">
        <v>1</v>
      </c>
    </row>
    <row r="19" spans="1:15" s="5" customFormat="1" x14ac:dyDescent="0.2">
      <c r="A19" s="93" t="str">
        <f>VLOOKUP("&lt;Zeilentitel_8&gt;",Uebersetzungen!$B$3:$E$31,Uebersetzungen!$B$2+1,FALSE)</f>
        <v>CSP</v>
      </c>
      <c r="B19" s="35"/>
      <c r="C19" s="30"/>
      <c r="D19" s="30"/>
      <c r="E19" s="30"/>
      <c r="F19" s="30"/>
      <c r="G19" s="30">
        <v>1</v>
      </c>
      <c r="H19" s="30"/>
      <c r="I19" s="30"/>
      <c r="J19" s="30"/>
      <c r="K19" s="30"/>
      <c r="L19" s="30"/>
      <c r="M19" s="30"/>
      <c r="N19" s="30"/>
      <c r="O19" s="55"/>
    </row>
    <row r="20" spans="1:15" s="5" customFormat="1" x14ac:dyDescent="0.2">
      <c r="A20" s="93" t="str">
        <f>VLOOKUP("&lt;Zeilentitel_9&gt;",Uebersetzungen!$B$3:$E$31,Uebersetzungen!$B$2+1,FALSE)</f>
        <v>GLP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>
        <v>1</v>
      </c>
      <c r="M20" s="30">
        <v>1</v>
      </c>
      <c r="N20" s="30">
        <v>2</v>
      </c>
      <c r="O20" s="55">
        <v>5</v>
      </c>
    </row>
    <row r="21" spans="1:15" s="5" customFormat="1" x14ac:dyDescent="0.2">
      <c r="A21" s="93" t="str">
        <f>VLOOKUP("&lt;Zeilentitel_10&gt;",Uebersetzungen!$B$3:$E$31,Uebersetzungen!$B$2+1,FALSE)</f>
        <v>BDP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>
        <v>2</v>
      </c>
      <c r="M21" s="30">
        <v>2</v>
      </c>
      <c r="N21" s="30">
        <v>2</v>
      </c>
      <c r="O21" s="55"/>
    </row>
    <row r="22" spans="1:15" s="5" customFormat="1" x14ac:dyDescent="0.2">
      <c r="A22" s="93" t="str">
        <f>VLOOKUP("&lt;Zeilentitel_11&gt;",Uebersetzungen!$B$3:$E$31,Uebersetzungen!$B$2+1,FALSE)</f>
        <v>FGA</v>
      </c>
      <c r="B22" s="35"/>
      <c r="C22" s="30"/>
      <c r="D22" s="30"/>
      <c r="E22" s="30"/>
      <c r="F22" s="30">
        <v>1</v>
      </c>
      <c r="G22" s="30">
        <v>1</v>
      </c>
      <c r="H22" s="30">
        <v>1</v>
      </c>
      <c r="I22" s="30"/>
      <c r="J22" s="30"/>
      <c r="K22" s="30"/>
      <c r="L22" s="30"/>
      <c r="M22" s="30"/>
      <c r="N22" s="30"/>
      <c r="O22" s="55"/>
    </row>
    <row r="23" spans="1:15" s="5" customFormat="1" x14ac:dyDescent="0.2">
      <c r="A23" s="93" t="str">
        <f>VLOOKUP("&lt;Zeilentitel_12&gt;",Uebersetzungen!$B$3:$E$31,Uebersetzungen!$B$2+1,FALSE)</f>
        <v>Grüne</v>
      </c>
      <c r="B23" s="35"/>
      <c r="C23" s="30"/>
      <c r="D23" s="30"/>
      <c r="E23" s="30"/>
      <c r="F23" s="30"/>
      <c r="G23" s="30"/>
      <c r="H23" s="30">
        <v>1</v>
      </c>
      <c r="I23" s="30"/>
      <c r="J23" s="30"/>
      <c r="K23" s="30"/>
      <c r="L23" s="30">
        <v>1</v>
      </c>
      <c r="M23" s="30"/>
      <c r="N23" s="30">
        <v>1</v>
      </c>
      <c r="O23" s="55">
        <v>2</v>
      </c>
    </row>
    <row r="24" spans="1:15" s="5" customFormat="1" x14ac:dyDescent="0.2">
      <c r="A24" s="93" t="str">
        <f>VLOOKUP("&lt;Zeilentitel_13&gt;",Uebersetzungen!$B$3:$E$31,Uebersetzungen!$B$2+1,FALSE)</f>
        <v>SD</v>
      </c>
      <c r="B24" s="35"/>
      <c r="C24" s="30">
        <v>1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55"/>
    </row>
    <row r="25" spans="1:15" s="5" customFormat="1" x14ac:dyDescent="0.2">
      <c r="A25" s="93" t="str">
        <f>VLOOKUP("&lt;Zeilentitel_14&gt;",Uebersetzungen!$B$3:$E$31,Uebersetzungen!$B$2+1,FALSE)</f>
        <v>EDU</v>
      </c>
      <c r="B25" s="35"/>
      <c r="C25" s="30"/>
      <c r="D25" s="30"/>
      <c r="E25" s="30"/>
      <c r="F25" s="30"/>
      <c r="G25" s="30"/>
      <c r="H25" s="30"/>
      <c r="I25" s="30"/>
      <c r="J25" s="30">
        <v>1</v>
      </c>
      <c r="K25" s="30">
        <v>1</v>
      </c>
      <c r="L25" s="30">
        <v>1</v>
      </c>
      <c r="M25" s="30"/>
      <c r="N25" s="30"/>
      <c r="O25" s="55">
        <v>1</v>
      </c>
    </row>
    <row r="26" spans="1:15" s="5" customFormat="1" x14ac:dyDescent="0.2">
      <c r="A26" s="93" t="str">
        <f>VLOOKUP("&lt;Zeilentitel_15&gt;",Uebersetzungen!$B$3:$E$31,Uebersetzungen!$B$2+1,FALSE)</f>
        <v>Übrige</v>
      </c>
      <c r="B26" s="36"/>
      <c r="C26" s="34">
        <v>1</v>
      </c>
      <c r="D26" s="34"/>
      <c r="E26" s="34"/>
      <c r="F26" s="34">
        <v>2</v>
      </c>
      <c r="G26" s="34">
        <v>3</v>
      </c>
      <c r="H26" s="34">
        <v>3</v>
      </c>
      <c r="I26" s="34">
        <v>4</v>
      </c>
      <c r="J26" s="34"/>
      <c r="K26" s="34">
        <v>1</v>
      </c>
      <c r="L26" s="53"/>
      <c r="M26" s="53">
        <v>1</v>
      </c>
      <c r="N26" s="53"/>
      <c r="O26" s="56">
        <v>1</v>
      </c>
    </row>
    <row r="27" spans="1:15" s="5" customFormat="1" ht="21" customHeight="1" x14ac:dyDescent="0.2">
      <c r="A27" s="94" t="str">
        <f>VLOOKUP("&lt;Zeilentitel_16&gt;",Uebersetzungen!$B$3:$E$31,Uebersetzungen!$B$2+1,FALSE)</f>
        <v>Total</v>
      </c>
      <c r="B27" s="71">
        <v>4</v>
      </c>
      <c r="C27" s="71">
        <v>6</v>
      </c>
      <c r="D27" s="71">
        <v>5</v>
      </c>
      <c r="E27" s="71">
        <v>4</v>
      </c>
      <c r="F27" s="71">
        <v>7</v>
      </c>
      <c r="G27" s="71">
        <v>9</v>
      </c>
      <c r="H27" s="71">
        <v>12</v>
      </c>
      <c r="I27" s="71">
        <v>13</v>
      </c>
      <c r="J27" s="71">
        <v>9</v>
      </c>
      <c r="K27" s="71">
        <v>13</v>
      </c>
      <c r="L27" s="71">
        <v>15</v>
      </c>
      <c r="M27" s="71">
        <f>SUM(M12:M26)</f>
        <v>15</v>
      </c>
      <c r="N27" s="71">
        <f>SUM(N12:N26)</f>
        <v>20</v>
      </c>
      <c r="O27" s="89">
        <f>SUM(O12:O26)</f>
        <v>25</v>
      </c>
    </row>
    <row r="29" spans="1:15" x14ac:dyDescent="0.2">
      <c r="A29" s="67" t="str">
        <f>VLOOKUP("&lt;Quelle_1&gt;",Uebersetzungen!$B$3:$E$52,Uebersetzungen!$B$2+1,FALSE)</f>
        <v>Quelle: BFS (Statistik der Nationalratswahlen)</v>
      </c>
    </row>
    <row r="30" spans="1:15" x14ac:dyDescent="0.2">
      <c r="A30" s="68" t="str">
        <f>VLOOKUP("&lt;Aktualisierung&gt;",Uebersetzungen!$B$3:$E$52,Uebersetzungen!$B$2+1,FALSE)</f>
        <v>Letztmals aktualisiert am: 21.03.2024</v>
      </c>
    </row>
  </sheetData>
  <sheetProtection sheet="1" objects="1" scenarios="1"/>
  <mergeCells count="1">
    <mergeCell ref="A7:D7"/>
  </mergeCells>
  <phoneticPr fontId="0" type="noConversion"/>
  <pageMargins left="0.78740157499999996" right="0.78740157499999996" top="0.68" bottom="0.38" header="0.4921259845" footer="0.16"/>
  <pageSetup paperSize="9" orientation="landscape" r:id="rId1"/>
  <headerFooter alignWithMargins="0"/>
  <ignoredErrors>
    <ignoredError sqref="M27:N2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47625</xdr:colOff>
                    <xdr:row>1</xdr:row>
                    <xdr:rowOff>114300</xdr:rowOff>
                  </from>
                  <to>
                    <xdr:col>9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8</xdr:col>
                    <xdr:colOff>47625</xdr:colOff>
                    <xdr:row>2</xdr:row>
                    <xdr:rowOff>104775</xdr:rowOff>
                  </from>
                  <to>
                    <xdr:col>10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66675</xdr:rowOff>
                  </from>
                  <to>
                    <xdr:col>9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1"/>
  <sheetViews>
    <sheetView showGridLines="0" zoomScaleNormal="100" workbookViewId="0"/>
  </sheetViews>
  <sheetFormatPr baseColWidth="10" defaultRowHeight="14.25" x14ac:dyDescent="0.2"/>
  <cols>
    <col min="1" max="1" width="14.83203125" style="45" customWidth="1"/>
    <col min="2" max="2" width="9" style="45" bestFit="1" customWidth="1"/>
    <col min="3" max="3" width="5.33203125" style="45" customWidth="1"/>
    <col min="4" max="4" width="7.6640625" style="45" bestFit="1" customWidth="1"/>
    <col min="5" max="5" width="6" style="45" bestFit="1" customWidth="1"/>
    <col min="6" max="6" width="5.33203125" style="45" customWidth="1"/>
    <col min="7" max="7" width="7.6640625" style="45" bestFit="1" customWidth="1"/>
    <col min="8" max="9" width="5.33203125" style="45" customWidth="1"/>
    <col min="10" max="10" width="7.6640625" style="45" bestFit="1" customWidth="1"/>
    <col min="11" max="12" width="5.33203125" style="45" customWidth="1"/>
    <col min="13" max="13" width="7.6640625" style="45" bestFit="1" customWidth="1"/>
    <col min="14" max="15" width="5.33203125" style="45" customWidth="1"/>
    <col min="16" max="16" width="7.6640625" style="45" bestFit="1" customWidth="1"/>
    <col min="17" max="18" width="5.33203125" style="45" customWidth="1"/>
    <col min="19" max="19" width="7.6640625" style="45" bestFit="1" customWidth="1"/>
    <col min="20" max="21" width="5.33203125" style="45" customWidth="1"/>
    <col min="22" max="22" width="7.83203125" style="45" bestFit="1" customWidth="1"/>
    <col min="23" max="24" width="5.33203125" style="45" customWidth="1"/>
    <col min="25" max="25" width="7.6640625" style="45" bestFit="1" customWidth="1"/>
    <col min="26" max="27" width="5.33203125" style="45" customWidth="1"/>
    <col min="28" max="28" width="7.6640625" style="45" bestFit="1" customWidth="1"/>
    <col min="29" max="30" width="5.33203125" style="45" customWidth="1"/>
    <col min="31" max="31" width="7.6640625" style="45" bestFit="1" customWidth="1"/>
    <col min="32" max="33" width="5.33203125" style="45" customWidth="1"/>
    <col min="34" max="34" width="7.6640625" style="45" bestFit="1" customWidth="1"/>
    <col min="35" max="35" width="5.33203125" style="45" customWidth="1"/>
    <col min="36" max="36" width="4.5" style="45" bestFit="1" customWidth="1"/>
    <col min="37" max="37" width="8.33203125" style="45" bestFit="1" customWidth="1"/>
    <col min="38" max="38" width="5.5" style="45" customWidth="1"/>
    <col min="39" max="39" width="6.6640625" style="45" customWidth="1"/>
    <col min="40" max="40" width="8.33203125" style="45" customWidth="1"/>
    <col min="41" max="41" width="5.5" style="45" customWidth="1"/>
    <col min="42" max="42" width="6.6640625" style="45" customWidth="1"/>
    <col min="43" max="43" width="8.33203125" style="45" customWidth="1"/>
    <col min="44" max="16384" width="12" style="45"/>
  </cols>
  <sheetData>
    <row r="1" spans="1:43" s="65" customFormat="1" ht="12.75" x14ac:dyDescent="0.2"/>
    <row r="2" spans="1:43" s="65" customFormat="1" ht="15.75" x14ac:dyDescent="0.25">
      <c r="B2" s="47"/>
      <c r="C2" s="66"/>
      <c r="D2" s="66"/>
    </row>
    <row r="3" spans="1:43" s="65" customFormat="1" ht="15.75" x14ac:dyDescent="0.25">
      <c r="B3" s="47"/>
      <c r="C3" s="66"/>
      <c r="D3" s="66"/>
    </row>
    <row r="4" spans="1:43" s="65" customFormat="1" ht="15.75" x14ac:dyDescent="0.25">
      <c r="B4" s="47"/>
      <c r="C4" s="66"/>
      <c r="D4" s="66"/>
    </row>
    <row r="5" spans="1:43" s="65" customFormat="1" ht="12.75" x14ac:dyDescent="0.2"/>
    <row r="6" spans="1:43" s="46" customFormat="1" ht="12.75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43" s="48" customFormat="1" ht="15.75" customHeight="1" x14ac:dyDescent="0.25">
      <c r="A7" s="104" t="str">
        <f>VLOOKUP("&lt;Fachbereich&gt;",Uebersetzungen!$B$3:$E$31,Uebersetzungen!$B$2+1,FALSE)</f>
        <v>Daten &amp; Statistik</v>
      </c>
      <c r="B7" s="104"/>
      <c r="C7" s="104"/>
      <c r="D7" s="104"/>
      <c r="E7" s="49"/>
      <c r="F7" s="49"/>
      <c r="G7" s="49"/>
      <c r="H7" s="49"/>
      <c r="I7" s="49"/>
    </row>
    <row r="8" spans="1:43" s="43" customFormat="1" ht="15" x14ac:dyDescent="0.25">
      <c r="A8" s="11"/>
      <c r="B8" s="42"/>
      <c r="C8" s="42"/>
      <c r="D8" s="42"/>
      <c r="E8" s="42"/>
    </row>
    <row r="9" spans="1:43" s="13" customFormat="1" ht="14.1" customHeight="1" x14ac:dyDescent="0.2">
      <c r="A9" s="51" t="str">
        <f>VLOOKUP("&lt;T2Titel&gt;",Uebersetzungen!$B$3:$E$31,Uebersetzungen!$B$2+1,FALSE)</f>
        <v>Nationalratswahlen Graubünden: Kandidierende nach Geschlecht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43" s="43" customFormat="1" x14ac:dyDescent="0.2">
      <c r="A10" s="44"/>
      <c r="AF10" s="28"/>
    </row>
    <row r="11" spans="1:43" s="13" customFormat="1" ht="18" customHeight="1" x14ac:dyDescent="0.2">
      <c r="A11" s="98"/>
      <c r="B11" s="107">
        <v>1971</v>
      </c>
      <c r="C11" s="105"/>
      <c r="D11" s="106"/>
      <c r="E11" s="107">
        <v>1975</v>
      </c>
      <c r="F11" s="105"/>
      <c r="G11" s="106"/>
      <c r="H11" s="107">
        <v>1979</v>
      </c>
      <c r="I11" s="105"/>
      <c r="J11" s="106"/>
      <c r="K11" s="107">
        <v>1983</v>
      </c>
      <c r="L11" s="105"/>
      <c r="M11" s="106"/>
      <c r="N11" s="107">
        <v>1987</v>
      </c>
      <c r="O11" s="105"/>
      <c r="P11" s="106"/>
      <c r="Q11" s="107">
        <v>1991</v>
      </c>
      <c r="R11" s="105"/>
      <c r="S11" s="106"/>
      <c r="T11" s="107">
        <v>1995</v>
      </c>
      <c r="U11" s="105"/>
      <c r="V11" s="106"/>
      <c r="W11" s="107">
        <v>1999</v>
      </c>
      <c r="X11" s="105"/>
      <c r="Y11" s="106"/>
      <c r="Z11" s="107">
        <v>2003</v>
      </c>
      <c r="AA11" s="105"/>
      <c r="AB11" s="106"/>
      <c r="AC11" s="107">
        <v>2007</v>
      </c>
      <c r="AD11" s="105"/>
      <c r="AE11" s="106"/>
      <c r="AF11" s="105">
        <v>2011</v>
      </c>
      <c r="AG11" s="105"/>
      <c r="AH11" s="106"/>
      <c r="AI11" s="105">
        <v>2015</v>
      </c>
      <c r="AJ11" s="105"/>
      <c r="AK11" s="106"/>
      <c r="AL11" s="105">
        <v>2019</v>
      </c>
      <c r="AM11" s="105"/>
      <c r="AN11" s="106"/>
      <c r="AO11" s="105">
        <v>2023</v>
      </c>
      <c r="AP11" s="105"/>
      <c r="AQ11" s="106"/>
    </row>
    <row r="12" spans="1:43" s="13" customFormat="1" ht="18" customHeight="1" x14ac:dyDescent="0.2">
      <c r="A12" s="99" t="str">
        <f>VLOOKUP("&lt;SpaltenTitel_1&gt;",Uebersetzungen!$B$3:$E$31,Uebersetzungen!$B$2+1,FALSE)</f>
        <v>Partei</v>
      </c>
      <c r="B12" s="92" t="str">
        <f>VLOOKUP("&lt;T2SpaltenTitel_1&gt;",Uebersetzungen!$B$3:$E$133,Uebersetzungen!$B$2+1,FALSE)</f>
        <v>F</v>
      </c>
      <c r="C12" s="92" t="str">
        <f>VLOOKUP("&lt;T2SpaltenTitel_2&gt;",Uebersetzungen!$B$3:$E$133,Uebersetzungen!$B$2+1,FALSE)</f>
        <v>M</v>
      </c>
      <c r="D12" s="92" t="str">
        <f>VLOOKUP("&lt;T2SpaltenTitel_3&gt;",Uebersetzungen!$B$3:$E$133,Uebersetzungen!$B$2+1,FALSE)</f>
        <v>F in %</v>
      </c>
      <c r="E12" s="92" t="str">
        <f>VLOOKUP("&lt;T2SpaltenTitel_1&gt;",Uebersetzungen!$B$3:$E$133,Uebersetzungen!$B$2+1,FALSE)</f>
        <v>F</v>
      </c>
      <c r="F12" s="92" t="str">
        <f>VLOOKUP("&lt;T2SpaltenTitel_2&gt;",Uebersetzungen!$B$3:$E$133,Uebersetzungen!$B$2+1,FALSE)</f>
        <v>M</v>
      </c>
      <c r="G12" s="92" t="str">
        <f>VLOOKUP("&lt;T2SpaltenTitel_3&gt;",Uebersetzungen!$B$3:$E$133,Uebersetzungen!$B$2+1,FALSE)</f>
        <v>F in %</v>
      </c>
      <c r="H12" s="92" t="str">
        <f>VLOOKUP("&lt;T2SpaltenTitel_1&gt;",Uebersetzungen!$B$3:$E$133,Uebersetzungen!$B$2+1,FALSE)</f>
        <v>F</v>
      </c>
      <c r="I12" s="92" t="str">
        <f>VLOOKUP("&lt;T2SpaltenTitel_2&gt;",Uebersetzungen!$B$3:$E$133,Uebersetzungen!$B$2+1,FALSE)</f>
        <v>M</v>
      </c>
      <c r="J12" s="92" t="str">
        <f>VLOOKUP("&lt;T2SpaltenTitel_3&gt;",Uebersetzungen!$B$3:$E$133,Uebersetzungen!$B$2+1,FALSE)</f>
        <v>F in %</v>
      </c>
      <c r="K12" s="92" t="str">
        <f>VLOOKUP("&lt;T2SpaltenTitel_1&gt;",Uebersetzungen!$B$3:$E$133,Uebersetzungen!$B$2+1,FALSE)</f>
        <v>F</v>
      </c>
      <c r="L12" s="92" t="str">
        <f>VLOOKUP("&lt;T2SpaltenTitel_2&gt;",Uebersetzungen!$B$3:$E$133,Uebersetzungen!$B$2+1,FALSE)</f>
        <v>M</v>
      </c>
      <c r="M12" s="92" t="str">
        <f>VLOOKUP("&lt;T2SpaltenTitel_3&gt;",Uebersetzungen!$B$3:$E$133,Uebersetzungen!$B$2+1,FALSE)</f>
        <v>F in %</v>
      </c>
      <c r="N12" s="92" t="str">
        <f>VLOOKUP("&lt;T2SpaltenTitel_1&gt;",Uebersetzungen!$B$3:$E$133,Uebersetzungen!$B$2+1,FALSE)</f>
        <v>F</v>
      </c>
      <c r="O12" s="92" t="str">
        <f>VLOOKUP("&lt;T2SpaltenTitel_2&gt;",Uebersetzungen!$B$3:$E$133,Uebersetzungen!$B$2+1,FALSE)</f>
        <v>M</v>
      </c>
      <c r="P12" s="92" t="str">
        <f>VLOOKUP("&lt;T2SpaltenTitel_3&gt;",Uebersetzungen!$B$3:$E$133,Uebersetzungen!$B$2+1,FALSE)</f>
        <v>F in %</v>
      </c>
      <c r="Q12" s="92" t="str">
        <f>VLOOKUP("&lt;T2SpaltenTitel_1&gt;",Uebersetzungen!$B$3:$E$133,Uebersetzungen!$B$2+1,FALSE)</f>
        <v>F</v>
      </c>
      <c r="R12" s="92" t="str">
        <f>VLOOKUP("&lt;T2SpaltenTitel_2&gt;",Uebersetzungen!$B$3:$E$133,Uebersetzungen!$B$2+1,FALSE)</f>
        <v>M</v>
      </c>
      <c r="S12" s="92" t="str">
        <f>VLOOKUP("&lt;T2SpaltenTitel_3&gt;",Uebersetzungen!$B$3:$E$133,Uebersetzungen!$B$2+1,FALSE)</f>
        <v>F in %</v>
      </c>
      <c r="T12" s="92" t="str">
        <f>VLOOKUP("&lt;T2SpaltenTitel_1&gt;",Uebersetzungen!$B$3:$E$133,Uebersetzungen!$B$2+1,FALSE)</f>
        <v>F</v>
      </c>
      <c r="U12" s="92" t="str">
        <f>VLOOKUP("&lt;T2SpaltenTitel_2&gt;",Uebersetzungen!$B$3:$E$133,Uebersetzungen!$B$2+1,FALSE)</f>
        <v>M</v>
      </c>
      <c r="V12" s="92" t="str">
        <f>VLOOKUP("&lt;T2SpaltenTitel_3&gt;",Uebersetzungen!$B$3:$E$133,Uebersetzungen!$B$2+1,FALSE)</f>
        <v>F in %</v>
      </c>
      <c r="W12" s="92" t="str">
        <f>VLOOKUP("&lt;T2SpaltenTitel_1&gt;",Uebersetzungen!$B$3:$E$133,Uebersetzungen!$B$2+1,FALSE)</f>
        <v>F</v>
      </c>
      <c r="X12" s="92" t="str">
        <f>VLOOKUP("&lt;T2SpaltenTitel_2&gt;",Uebersetzungen!$B$3:$E$133,Uebersetzungen!$B$2+1,FALSE)</f>
        <v>M</v>
      </c>
      <c r="Y12" s="92" t="str">
        <f>VLOOKUP("&lt;T2SpaltenTitel_3&gt;",Uebersetzungen!$B$3:$E$133,Uebersetzungen!$B$2+1,FALSE)</f>
        <v>F in %</v>
      </c>
      <c r="Z12" s="92" t="str">
        <f>VLOOKUP("&lt;T2SpaltenTitel_1&gt;",Uebersetzungen!$B$3:$E$133,Uebersetzungen!$B$2+1,FALSE)</f>
        <v>F</v>
      </c>
      <c r="AA12" s="92" t="str">
        <f>VLOOKUP("&lt;T2SpaltenTitel_2&gt;",Uebersetzungen!$B$3:$E$133,Uebersetzungen!$B$2+1,FALSE)</f>
        <v>M</v>
      </c>
      <c r="AB12" s="92" t="str">
        <f>VLOOKUP("&lt;T2SpaltenTitel_3&gt;",Uebersetzungen!$B$3:$E$133,Uebersetzungen!$B$2+1,FALSE)</f>
        <v>F in %</v>
      </c>
      <c r="AC12" s="92" t="str">
        <f>VLOOKUP("&lt;T2SpaltenTitel_1&gt;",Uebersetzungen!$B$3:$E$133,Uebersetzungen!$B$2+1,FALSE)</f>
        <v>F</v>
      </c>
      <c r="AD12" s="92" t="str">
        <f>VLOOKUP("&lt;T2SpaltenTitel_2&gt;",Uebersetzungen!$B$3:$E$133,Uebersetzungen!$B$2+1,FALSE)</f>
        <v>M</v>
      </c>
      <c r="AE12" s="92" t="str">
        <f>VLOOKUP("&lt;T2SpaltenTitel_3&gt;",Uebersetzungen!$B$3:$E$133,Uebersetzungen!$B$2+1,FALSE)</f>
        <v>F in %</v>
      </c>
      <c r="AF12" s="92" t="str">
        <f>VLOOKUP("&lt;T2SpaltenTitel_1&gt;",Uebersetzungen!$B$3:$E$133,Uebersetzungen!$B$2+1,FALSE)</f>
        <v>F</v>
      </c>
      <c r="AG12" s="92" t="str">
        <f>VLOOKUP("&lt;T2SpaltenTitel_2&gt;",Uebersetzungen!$B$3:$E$133,Uebersetzungen!$B$2+1,FALSE)</f>
        <v>M</v>
      </c>
      <c r="AH12" s="92" t="str">
        <f>VLOOKUP("&lt;T2SpaltenTitel_3&gt;",Uebersetzungen!$B$3:$E$133,Uebersetzungen!$B$2+1,FALSE)</f>
        <v>F in %</v>
      </c>
      <c r="AI12" s="92" t="str">
        <f>VLOOKUP("&lt;T2SpaltenTitel_1&gt;",Uebersetzungen!$B$3:$E$133,Uebersetzungen!$B$2+1,FALSE)</f>
        <v>F</v>
      </c>
      <c r="AJ12" s="92" t="str">
        <f>VLOOKUP("&lt;T2SpaltenTitel_2&gt;",Uebersetzungen!$B$3:$E$133,Uebersetzungen!$B$2+1,FALSE)</f>
        <v>M</v>
      </c>
      <c r="AK12" s="92" t="str">
        <f>VLOOKUP("&lt;T2SpaltenTitel_3&gt;",Uebersetzungen!$B$3:$E$133,Uebersetzungen!$B$2+1,FALSE)</f>
        <v>F in %</v>
      </c>
      <c r="AL12" s="92" t="str">
        <f>VLOOKUP("&lt;T2SpaltenTitel_1&gt;",Uebersetzungen!$B$3:$E$133,Uebersetzungen!$B$2+1,FALSE)</f>
        <v>F</v>
      </c>
      <c r="AM12" s="92" t="str">
        <f>VLOOKUP("&lt;T2SpaltenTitel_2&gt;",Uebersetzungen!$B$3:$E$133,Uebersetzungen!$B$2+1,FALSE)</f>
        <v>M</v>
      </c>
      <c r="AN12" s="92" t="str">
        <f>VLOOKUP("&lt;T2SpaltenTitel_3&gt;",Uebersetzungen!$B$3:$E$133,Uebersetzungen!$B$2+1,FALSE)</f>
        <v>F in %</v>
      </c>
      <c r="AO12" s="92" t="str">
        <f>VLOOKUP("&lt;T2SpaltenTitel_1&gt;",Uebersetzungen!$B$3:$E$133,Uebersetzungen!$B$2+1,FALSE)</f>
        <v>F</v>
      </c>
      <c r="AP12" s="92" t="str">
        <f>VLOOKUP("&lt;T2SpaltenTitel_2&gt;",Uebersetzungen!$B$3:$E$133,Uebersetzungen!$B$2+1,FALSE)</f>
        <v>M</v>
      </c>
      <c r="AQ12" s="92" t="str">
        <f>VLOOKUP("&lt;T2SpaltenTitel_3&gt;",Uebersetzungen!$B$3:$E$133,Uebersetzungen!$B$2+1,FALSE)</f>
        <v>F in %</v>
      </c>
    </row>
    <row r="13" spans="1:43" s="5" customFormat="1" x14ac:dyDescent="0.2">
      <c r="A13" s="93" t="str">
        <f>VLOOKUP("&lt;Zeilentitel_1&gt;",Uebersetzungen!$B$3:$E$31,Uebersetzungen!$B$2+1,FALSE)</f>
        <v>FDP</v>
      </c>
      <c r="B13" s="37">
        <v>1</v>
      </c>
      <c r="C13" s="31">
        <v>4</v>
      </c>
      <c r="D13" s="32">
        <v>20</v>
      </c>
      <c r="E13" s="37">
        <v>1</v>
      </c>
      <c r="F13" s="31">
        <v>4</v>
      </c>
      <c r="G13" s="32">
        <v>20</v>
      </c>
      <c r="H13" s="37">
        <v>1</v>
      </c>
      <c r="I13" s="31">
        <v>4</v>
      </c>
      <c r="J13" s="32">
        <v>20</v>
      </c>
      <c r="K13" s="37">
        <v>1</v>
      </c>
      <c r="L13" s="31">
        <v>4</v>
      </c>
      <c r="M13" s="32">
        <v>20</v>
      </c>
      <c r="N13" s="37">
        <v>1</v>
      </c>
      <c r="O13" s="31">
        <v>4</v>
      </c>
      <c r="P13" s="32">
        <v>20</v>
      </c>
      <c r="Q13" s="37">
        <v>1</v>
      </c>
      <c r="R13" s="31">
        <v>4</v>
      </c>
      <c r="S13" s="32">
        <v>20</v>
      </c>
      <c r="T13" s="37">
        <v>2</v>
      </c>
      <c r="U13" s="31">
        <v>3</v>
      </c>
      <c r="V13" s="32">
        <v>40</v>
      </c>
      <c r="W13" s="37">
        <v>2</v>
      </c>
      <c r="X13" s="31">
        <v>8</v>
      </c>
      <c r="Y13" s="32">
        <v>20</v>
      </c>
      <c r="Z13" s="37">
        <v>2</v>
      </c>
      <c r="AA13" s="31">
        <v>8</v>
      </c>
      <c r="AB13" s="32">
        <v>20</v>
      </c>
      <c r="AC13" s="37">
        <v>3</v>
      </c>
      <c r="AD13" s="31">
        <v>12</v>
      </c>
      <c r="AE13" s="32">
        <v>20</v>
      </c>
      <c r="AF13" s="33">
        <v>2</v>
      </c>
      <c r="AG13" s="31">
        <v>8</v>
      </c>
      <c r="AH13" s="32">
        <v>20</v>
      </c>
      <c r="AI13" s="33">
        <v>6</v>
      </c>
      <c r="AJ13" s="31">
        <v>9</v>
      </c>
      <c r="AK13" s="32">
        <v>40</v>
      </c>
      <c r="AL13" s="33">
        <v>5</v>
      </c>
      <c r="AM13" s="31">
        <v>15</v>
      </c>
      <c r="AN13" s="32">
        <f>(AL13/(AM13+AL13))*100</f>
        <v>25</v>
      </c>
      <c r="AO13" s="33">
        <v>6</v>
      </c>
      <c r="AP13" s="31">
        <v>8</v>
      </c>
      <c r="AQ13" s="32">
        <f>(AO13/(AP13+AO13))*100</f>
        <v>42.857142857142854</v>
      </c>
    </row>
    <row r="14" spans="1:43" s="5" customFormat="1" x14ac:dyDescent="0.2">
      <c r="A14" s="93" t="str">
        <f>VLOOKUP("&lt;Zeilentitel_2&gt;",Uebersetzungen!$B$3:$E$31,Uebersetzungen!$B$2+1,FALSE)</f>
        <v>Die Mitte</v>
      </c>
      <c r="B14" s="37"/>
      <c r="C14" s="31"/>
      <c r="D14" s="32"/>
      <c r="E14" s="37"/>
      <c r="F14" s="31"/>
      <c r="G14" s="32"/>
      <c r="H14" s="37"/>
      <c r="I14" s="31"/>
      <c r="J14" s="32"/>
      <c r="K14" s="37"/>
      <c r="L14" s="31"/>
      <c r="M14" s="32"/>
      <c r="N14" s="37"/>
      <c r="O14" s="31"/>
      <c r="P14" s="32"/>
      <c r="Q14" s="37"/>
      <c r="R14" s="31"/>
      <c r="S14" s="32"/>
      <c r="T14" s="37"/>
      <c r="U14" s="31"/>
      <c r="V14" s="32"/>
      <c r="W14" s="37"/>
      <c r="X14" s="31"/>
      <c r="Y14" s="32"/>
      <c r="Z14" s="37"/>
      <c r="AA14" s="31"/>
      <c r="AB14" s="32"/>
      <c r="AC14" s="37"/>
      <c r="AD14" s="31"/>
      <c r="AE14" s="32"/>
      <c r="AF14" s="33"/>
      <c r="AG14" s="31"/>
      <c r="AH14" s="32"/>
      <c r="AI14" s="33"/>
      <c r="AJ14" s="31"/>
      <c r="AK14" s="32"/>
      <c r="AL14" s="33"/>
      <c r="AM14" s="31"/>
      <c r="AN14" s="32"/>
      <c r="AO14" s="33">
        <v>9</v>
      </c>
      <c r="AP14" s="31">
        <v>11</v>
      </c>
      <c r="AQ14" s="32">
        <f t="shared" ref="AQ14:AQ27" si="0">(AO14/(AP14+AO14))*100</f>
        <v>45</v>
      </c>
    </row>
    <row r="15" spans="1:43" s="5" customFormat="1" x14ac:dyDescent="0.2">
      <c r="A15" s="93" t="str">
        <f>VLOOKUP("&lt;Zeilentitel_3&gt;",Uebersetzungen!$B$3:$E$31,Uebersetzungen!$B$2+1,FALSE)</f>
        <v>CVP</v>
      </c>
      <c r="B15" s="37">
        <v>1</v>
      </c>
      <c r="C15" s="31">
        <v>4</v>
      </c>
      <c r="D15" s="32">
        <v>20</v>
      </c>
      <c r="E15" s="37">
        <v>1</v>
      </c>
      <c r="F15" s="31">
        <v>4</v>
      </c>
      <c r="G15" s="32">
        <v>20</v>
      </c>
      <c r="H15" s="37">
        <v>1</v>
      </c>
      <c r="I15" s="31">
        <v>4</v>
      </c>
      <c r="J15" s="32">
        <v>20</v>
      </c>
      <c r="K15" s="37">
        <v>1</v>
      </c>
      <c r="L15" s="31">
        <v>4</v>
      </c>
      <c r="M15" s="32">
        <v>20</v>
      </c>
      <c r="N15" s="37">
        <v>1</v>
      </c>
      <c r="O15" s="31">
        <v>4</v>
      </c>
      <c r="P15" s="32">
        <v>20</v>
      </c>
      <c r="Q15" s="37">
        <v>1</v>
      </c>
      <c r="R15" s="31">
        <v>4</v>
      </c>
      <c r="S15" s="32">
        <v>20</v>
      </c>
      <c r="T15" s="37">
        <v>4</v>
      </c>
      <c r="U15" s="31">
        <v>6</v>
      </c>
      <c r="V15" s="32">
        <v>40</v>
      </c>
      <c r="W15" s="37">
        <v>4</v>
      </c>
      <c r="X15" s="31">
        <v>11</v>
      </c>
      <c r="Y15" s="32">
        <v>26.666666666666668</v>
      </c>
      <c r="Z15" s="37">
        <v>1</v>
      </c>
      <c r="AA15" s="31">
        <v>9</v>
      </c>
      <c r="AB15" s="32">
        <v>10</v>
      </c>
      <c r="AC15" s="37">
        <v>6</v>
      </c>
      <c r="AD15" s="31">
        <v>9</v>
      </c>
      <c r="AE15" s="32">
        <v>40</v>
      </c>
      <c r="AF15" s="33">
        <v>3</v>
      </c>
      <c r="AG15" s="31">
        <v>7</v>
      </c>
      <c r="AH15" s="32">
        <v>30</v>
      </c>
      <c r="AI15" s="33">
        <v>4</v>
      </c>
      <c r="AJ15" s="31">
        <v>6</v>
      </c>
      <c r="AK15" s="32">
        <v>40</v>
      </c>
      <c r="AL15" s="33">
        <v>7</v>
      </c>
      <c r="AM15" s="31">
        <v>8</v>
      </c>
      <c r="AN15" s="32">
        <f t="shared" ref="AN15:AN28" si="1">(AL15/(AM15+AL15))*100</f>
        <v>46.666666666666664</v>
      </c>
      <c r="AO15" s="33"/>
      <c r="AP15" s="31"/>
      <c r="AQ15" s="32"/>
    </row>
    <row r="16" spans="1:43" s="5" customFormat="1" x14ac:dyDescent="0.2">
      <c r="A16" s="93" t="str">
        <f>VLOOKUP("&lt;Zeilentitel_4&gt;",Uebersetzungen!$B$3:$E$31,Uebersetzungen!$B$2+1,FALSE)</f>
        <v>SP</v>
      </c>
      <c r="B16" s="37"/>
      <c r="C16" s="31">
        <v>5</v>
      </c>
      <c r="D16" s="32">
        <v>0</v>
      </c>
      <c r="E16" s="37">
        <v>1</v>
      </c>
      <c r="F16" s="31">
        <v>4</v>
      </c>
      <c r="G16" s="32">
        <v>20</v>
      </c>
      <c r="H16" s="37">
        <v>1</v>
      </c>
      <c r="I16" s="31">
        <v>4</v>
      </c>
      <c r="J16" s="32">
        <v>20</v>
      </c>
      <c r="K16" s="37">
        <v>1</v>
      </c>
      <c r="L16" s="31">
        <v>4</v>
      </c>
      <c r="M16" s="32">
        <v>20</v>
      </c>
      <c r="N16" s="37">
        <v>2</v>
      </c>
      <c r="O16" s="31">
        <v>3</v>
      </c>
      <c r="P16" s="32">
        <v>40</v>
      </c>
      <c r="Q16" s="37">
        <v>2</v>
      </c>
      <c r="R16" s="31">
        <v>3</v>
      </c>
      <c r="S16" s="32">
        <v>40</v>
      </c>
      <c r="T16" s="37">
        <v>2</v>
      </c>
      <c r="U16" s="31">
        <v>3</v>
      </c>
      <c r="V16" s="32">
        <v>40</v>
      </c>
      <c r="W16" s="37">
        <v>4</v>
      </c>
      <c r="X16" s="31">
        <v>6</v>
      </c>
      <c r="Y16" s="32">
        <v>40</v>
      </c>
      <c r="Z16" s="37">
        <v>5</v>
      </c>
      <c r="AA16" s="31">
        <v>5</v>
      </c>
      <c r="AB16" s="32">
        <v>50</v>
      </c>
      <c r="AC16" s="37">
        <v>6</v>
      </c>
      <c r="AD16" s="31">
        <v>9</v>
      </c>
      <c r="AE16" s="32">
        <v>40</v>
      </c>
      <c r="AF16" s="33">
        <v>4</v>
      </c>
      <c r="AG16" s="31">
        <v>6</v>
      </c>
      <c r="AH16" s="32">
        <v>40</v>
      </c>
      <c r="AI16" s="33">
        <v>5</v>
      </c>
      <c r="AJ16" s="31">
        <v>5</v>
      </c>
      <c r="AK16" s="32">
        <v>50</v>
      </c>
      <c r="AL16" s="33">
        <v>8</v>
      </c>
      <c r="AM16" s="31">
        <v>7</v>
      </c>
      <c r="AN16" s="32">
        <f t="shared" si="1"/>
        <v>53.333333333333336</v>
      </c>
      <c r="AO16" s="33">
        <v>7</v>
      </c>
      <c r="AP16" s="31">
        <v>8</v>
      </c>
      <c r="AQ16" s="32">
        <f t="shared" si="0"/>
        <v>46.666666666666664</v>
      </c>
    </row>
    <row r="17" spans="1:43" s="5" customFormat="1" x14ac:dyDescent="0.2">
      <c r="A17" s="93" t="str">
        <f>VLOOKUP("&lt;Zeilentitel_5&gt;",Uebersetzungen!$B$3:$E$31,Uebersetzungen!$B$2+1,FALSE)</f>
        <v>SVP</v>
      </c>
      <c r="B17" s="37">
        <v>1</v>
      </c>
      <c r="C17" s="31">
        <v>4</v>
      </c>
      <c r="D17" s="32">
        <v>20</v>
      </c>
      <c r="E17" s="37">
        <v>1</v>
      </c>
      <c r="F17" s="31">
        <v>4</v>
      </c>
      <c r="G17" s="32">
        <v>20</v>
      </c>
      <c r="H17" s="37">
        <v>1</v>
      </c>
      <c r="I17" s="31">
        <v>9</v>
      </c>
      <c r="J17" s="32">
        <v>10</v>
      </c>
      <c r="K17" s="37">
        <v>1</v>
      </c>
      <c r="L17" s="31">
        <v>4</v>
      </c>
      <c r="M17" s="32">
        <v>20</v>
      </c>
      <c r="N17" s="37">
        <v>1</v>
      </c>
      <c r="O17" s="31">
        <v>4</v>
      </c>
      <c r="P17" s="32">
        <v>20</v>
      </c>
      <c r="Q17" s="37">
        <v>1</v>
      </c>
      <c r="R17" s="31">
        <v>4</v>
      </c>
      <c r="S17" s="32">
        <v>20</v>
      </c>
      <c r="T17" s="37">
        <v>4</v>
      </c>
      <c r="U17" s="31">
        <v>6</v>
      </c>
      <c r="V17" s="32">
        <v>40</v>
      </c>
      <c r="W17" s="37">
        <v>4</v>
      </c>
      <c r="X17" s="31">
        <v>6</v>
      </c>
      <c r="Y17" s="32">
        <v>40</v>
      </c>
      <c r="Z17" s="37">
        <v>3</v>
      </c>
      <c r="AA17" s="31">
        <v>7</v>
      </c>
      <c r="AB17" s="32">
        <v>30</v>
      </c>
      <c r="AC17" s="37">
        <v>4</v>
      </c>
      <c r="AD17" s="31">
        <v>6</v>
      </c>
      <c r="AE17" s="32">
        <v>40</v>
      </c>
      <c r="AF17" s="33">
        <v>4</v>
      </c>
      <c r="AG17" s="31">
        <v>16</v>
      </c>
      <c r="AH17" s="32">
        <v>20</v>
      </c>
      <c r="AI17" s="33">
        <v>4</v>
      </c>
      <c r="AJ17" s="31">
        <v>16</v>
      </c>
      <c r="AK17" s="32">
        <v>20</v>
      </c>
      <c r="AL17" s="33">
        <v>6</v>
      </c>
      <c r="AM17" s="31">
        <v>19</v>
      </c>
      <c r="AN17" s="32">
        <f t="shared" si="1"/>
        <v>24</v>
      </c>
      <c r="AO17" s="33">
        <v>6</v>
      </c>
      <c r="AP17" s="31">
        <v>19</v>
      </c>
      <c r="AQ17" s="32">
        <f t="shared" si="0"/>
        <v>24</v>
      </c>
    </row>
    <row r="18" spans="1:43" s="5" customFormat="1" x14ac:dyDescent="0.2">
      <c r="A18" s="93" t="str">
        <f>VLOOKUP("&lt;Zeilentitel_6&gt;",Uebersetzungen!$B$3:$E$31,Uebersetzungen!$B$2+1,FALSE)</f>
        <v>LdU</v>
      </c>
      <c r="B18" s="37"/>
      <c r="C18" s="31"/>
      <c r="D18" s="32" t="s">
        <v>45</v>
      </c>
      <c r="E18" s="37"/>
      <c r="F18" s="31"/>
      <c r="G18" s="32" t="s">
        <v>45</v>
      </c>
      <c r="H18" s="37"/>
      <c r="I18" s="31"/>
      <c r="J18" s="32" t="s">
        <v>45</v>
      </c>
      <c r="K18" s="37"/>
      <c r="L18" s="31"/>
      <c r="M18" s="32" t="s">
        <v>45</v>
      </c>
      <c r="N18" s="37"/>
      <c r="O18" s="31"/>
      <c r="P18" s="32" t="s">
        <v>45</v>
      </c>
      <c r="Q18" s="37"/>
      <c r="R18" s="31"/>
      <c r="S18" s="32" t="s">
        <v>45</v>
      </c>
      <c r="T18" s="37">
        <v>2</v>
      </c>
      <c r="U18" s="31">
        <v>2</v>
      </c>
      <c r="V18" s="32">
        <v>50</v>
      </c>
      <c r="W18" s="37"/>
      <c r="X18" s="31"/>
      <c r="Y18" s="32" t="s">
        <v>45</v>
      </c>
      <c r="Z18" s="37"/>
      <c r="AA18" s="31"/>
      <c r="AB18" s="32" t="s">
        <v>45</v>
      </c>
      <c r="AC18" s="37"/>
      <c r="AD18" s="31"/>
      <c r="AE18" s="32" t="s">
        <v>45</v>
      </c>
      <c r="AF18" s="33"/>
      <c r="AG18" s="31"/>
      <c r="AH18" s="32" t="s">
        <v>45</v>
      </c>
      <c r="AI18" s="33"/>
      <c r="AJ18" s="31"/>
      <c r="AK18" s="32"/>
      <c r="AL18" s="33"/>
      <c r="AM18" s="31"/>
      <c r="AN18" s="32"/>
      <c r="AO18" s="33"/>
      <c r="AP18" s="31"/>
      <c r="AQ18" s="32"/>
    </row>
    <row r="19" spans="1:43" s="5" customFormat="1" x14ac:dyDescent="0.2">
      <c r="A19" s="93" t="str">
        <f>VLOOKUP("&lt;Zeilentitel_7&gt;",Uebersetzungen!$B$3:$E$31,Uebersetzungen!$B$2+1,FALSE)</f>
        <v>EVP</v>
      </c>
      <c r="B19" s="37"/>
      <c r="C19" s="31"/>
      <c r="D19" s="32"/>
      <c r="E19" s="37"/>
      <c r="F19" s="31"/>
      <c r="G19" s="32"/>
      <c r="H19" s="37"/>
      <c r="I19" s="31"/>
      <c r="J19" s="32"/>
      <c r="K19" s="37"/>
      <c r="L19" s="31"/>
      <c r="M19" s="32"/>
      <c r="N19" s="37"/>
      <c r="O19" s="31"/>
      <c r="P19" s="32"/>
      <c r="Q19" s="37"/>
      <c r="R19" s="31"/>
      <c r="S19" s="32"/>
      <c r="T19" s="37"/>
      <c r="U19" s="31"/>
      <c r="V19" s="32"/>
      <c r="W19" s="37"/>
      <c r="X19" s="31"/>
      <c r="Y19" s="32"/>
      <c r="Z19" s="37"/>
      <c r="AA19" s="31"/>
      <c r="AB19" s="32"/>
      <c r="AC19" s="37"/>
      <c r="AD19" s="31"/>
      <c r="AE19" s="32"/>
      <c r="AF19" s="33"/>
      <c r="AG19" s="31"/>
      <c r="AH19" s="32"/>
      <c r="AI19" s="33"/>
      <c r="AJ19" s="31"/>
      <c r="AK19" s="32"/>
      <c r="AL19" s="33"/>
      <c r="AM19" s="31"/>
      <c r="AN19" s="32"/>
      <c r="AO19" s="33">
        <v>2</v>
      </c>
      <c r="AP19" s="31">
        <v>3</v>
      </c>
      <c r="AQ19" s="32">
        <f t="shared" si="0"/>
        <v>40</v>
      </c>
    </row>
    <row r="20" spans="1:43" s="5" customFormat="1" x14ac:dyDescent="0.2">
      <c r="A20" s="93" t="str">
        <f>VLOOKUP("&lt;Zeilentitel_8&gt;",Uebersetzungen!$B$3:$E$31,Uebersetzungen!$B$2+1,FALSE)</f>
        <v>CSP</v>
      </c>
      <c r="B20" s="37"/>
      <c r="C20" s="31"/>
      <c r="D20" s="32" t="s">
        <v>45</v>
      </c>
      <c r="E20" s="37"/>
      <c r="F20" s="31"/>
      <c r="G20" s="32" t="s">
        <v>45</v>
      </c>
      <c r="H20" s="37"/>
      <c r="I20" s="31"/>
      <c r="J20" s="32" t="s">
        <v>45</v>
      </c>
      <c r="K20" s="37"/>
      <c r="L20" s="31"/>
      <c r="M20" s="32" t="s">
        <v>45</v>
      </c>
      <c r="N20" s="37"/>
      <c r="O20" s="31"/>
      <c r="P20" s="32" t="s">
        <v>45</v>
      </c>
      <c r="Q20" s="37">
        <v>1</v>
      </c>
      <c r="R20" s="31">
        <v>4</v>
      </c>
      <c r="S20" s="32">
        <v>20</v>
      </c>
      <c r="T20" s="37"/>
      <c r="U20" s="31"/>
      <c r="V20" s="32" t="s">
        <v>45</v>
      </c>
      <c r="W20" s="37"/>
      <c r="X20" s="31"/>
      <c r="Y20" s="32" t="s">
        <v>45</v>
      </c>
      <c r="Z20" s="37"/>
      <c r="AA20" s="31"/>
      <c r="AB20" s="32" t="s">
        <v>45</v>
      </c>
      <c r="AC20" s="37"/>
      <c r="AD20" s="31"/>
      <c r="AE20" s="32" t="s">
        <v>45</v>
      </c>
      <c r="AF20" s="33"/>
      <c r="AG20" s="31"/>
      <c r="AH20" s="32" t="s">
        <v>45</v>
      </c>
      <c r="AI20" s="33"/>
      <c r="AJ20" s="31"/>
      <c r="AK20" s="32"/>
      <c r="AL20" s="33"/>
      <c r="AM20" s="31"/>
      <c r="AN20" s="32"/>
      <c r="AO20" s="33"/>
      <c r="AP20" s="31"/>
      <c r="AQ20" s="32"/>
    </row>
    <row r="21" spans="1:43" s="5" customFormat="1" x14ac:dyDescent="0.2">
      <c r="A21" s="93" t="str">
        <f>VLOOKUP("&lt;Zeilentitel_9&gt;",Uebersetzungen!$B$3:$E$31,Uebersetzungen!$B$2+1,FALSE)</f>
        <v>GLP</v>
      </c>
      <c r="B21" s="37"/>
      <c r="C21" s="31"/>
      <c r="D21" s="32"/>
      <c r="E21" s="37"/>
      <c r="F21" s="31"/>
      <c r="G21" s="32"/>
      <c r="H21" s="37"/>
      <c r="I21" s="31"/>
      <c r="J21" s="32"/>
      <c r="K21" s="37"/>
      <c r="L21" s="31"/>
      <c r="M21" s="32"/>
      <c r="N21" s="37"/>
      <c r="O21" s="31"/>
      <c r="P21" s="32"/>
      <c r="Q21" s="37"/>
      <c r="R21" s="31"/>
      <c r="S21" s="32"/>
      <c r="T21" s="37"/>
      <c r="U21" s="31"/>
      <c r="V21" s="32"/>
      <c r="W21" s="37"/>
      <c r="X21" s="31"/>
      <c r="Y21" s="32"/>
      <c r="Z21" s="37"/>
      <c r="AA21" s="31"/>
      <c r="AB21" s="32"/>
      <c r="AC21" s="37"/>
      <c r="AD21" s="31"/>
      <c r="AE21" s="32"/>
      <c r="AF21" s="33">
        <v>1</v>
      </c>
      <c r="AG21" s="31">
        <v>3</v>
      </c>
      <c r="AH21" s="32">
        <v>25</v>
      </c>
      <c r="AI21" s="33">
        <v>2</v>
      </c>
      <c r="AJ21" s="31">
        <v>3</v>
      </c>
      <c r="AK21" s="32">
        <v>40</v>
      </c>
      <c r="AL21" s="33">
        <v>3</v>
      </c>
      <c r="AM21" s="31">
        <v>7</v>
      </c>
      <c r="AN21" s="32">
        <f t="shared" si="1"/>
        <v>30</v>
      </c>
      <c r="AO21" s="33">
        <v>7</v>
      </c>
      <c r="AP21" s="31">
        <v>18</v>
      </c>
      <c r="AQ21" s="32">
        <f t="shared" si="0"/>
        <v>28.000000000000004</v>
      </c>
    </row>
    <row r="22" spans="1:43" s="5" customFormat="1" x14ac:dyDescent="0.2">
      <c r="A22" s="93" t="str">
        <f>VLOOKUP("&lt;Zeilentitel_10&gt;",Uebersetzungen!$B$3:$E$31,Uebersetzungen!$B$2+1,FALSE)</f>
        <v>BDP</v>
      </c>
      <c r="B22" s="37"/>
      <c r="C22" s="31"/>
      <c r="D22" s="32"/>
      <c r="E22" s="37"/>
      <c r="F22" s="31"/>
      <c r="G22" s="32"/>
      <c r="H22" s="37"/>
      <c r="I22" s="31"/>
      <c r="J22" s="32"/>
      <c r="K22" s="37"/>
      <c r="L22" s="31"/>
      <c r="M22" s="32"/>
      <c r="N22" s="37"/>
      <c r="O22" s="31"/>
      <c r="P22" s="32"/>
      <c r="Q22" s="37"/>
      <c r="R22" s="31"/>
      <c r="S22" s="32"/>
      <c r="T22" s="37"/>
      <c r="U22" s="31"/>
      <c r="V22" s="32"/>
      <c r="W22" s="37"/>
      <c r="X22" s="31"/>
      <c r="Y22" s="32"/>
      <c r="Z22" s="37"/>
      <c r="AA22" s="31"/>
      <c r="AB22" s="32"/>
      <c r="AC22" s="37"/>
      <c r="AD22" s="31"/>
      <c r="AE22" s="32"/>
      <c r="AF22" s="33">
        <v>2</v>
      </c>
      <c r="AG22" s="31">
        <v>8</v>
      </c>
      <c r="AH22" s="32">
        <v>20</v>
      </c>
      <c r="AI22" s="33">
        <v>2</v>
      </c>
      <c r="AJ22" s="31">
        <v>7</v>
      </c>
      <c r="AK22" s="32">
        <v>22.222222222222221</v>
      </c>
      <c r="AL22" s="33">
        <v>3</v>
      </c>
      <c r="AM22" s="31">
        <v>7</v>
      </c>
      <c r="AN22" s="32">
        <f t="shared" si="1"/>
        <v>30</v>
      </c>
      <c r="AO22" s="33"/>
      <c r="AP22" s="31"/>
      <c r="AQ22" s="32"/>
    </row>
    <row r="23" spans="1:43" s="5" customFormat="1" x14ac:dyDescent="0.2">
      <c r="A23" s="93" t="str">
        <f>VLOOKUP("&lt;Zeilentitel_11&gt;",Uebersetzungen!$B$3:$E$31,Uebersetzungen!$B$2+1,FALSE)</f>
        <v>FGA</v>
      </c>
      <c r="B23" s="37"/>
      <c r="C23" s="31"/>
      <c r="D23" s="32" t="s">
        <v>45</v>
      </c>
      <c r="E23" s="37"/>
      <c r="F23" s="31"/>
      <c r="G23" s="32" t="s">
        <v>45</v>
      </c>
      <c r="H23" s="37"/>
      <c r="I23" s="31"/>
      <c r="J23" s="32" t="s">
        <v>45</v>
      </c>
      <c r="K23" s="37"/>
      <c r="L23" s="31"/>
      <c r="M23" s="32" t="s">
        <v>45</v>
      </c>
      <c r="N23" s="37">
        <v>2</v>
      </c>
      <c r="O23" s="31">
        <v>3</v>
      </c>
      <c r="P23" s="32">
        <v>40</v>
      </c>
      <c r="Q23" s="37">
        <v>2</v>
      </c>
      <c r="R23" s="31">
        <v>3</v>
      </c>
      <c r="S23" s="32">
        <v>40</v>
      </c>
      <c r="T23" s="37">
        <v>5</v>
      </c>
      <c r="U23" s="31"/>
      <c r="V23" s="32">
        <v>100</v>
      </c>
      <c r="W23" s="37"/>
      <c r="X23" s="31"/>
      <c r="Y23" s="32" t="s">
        <v>45</v>
      </c>
      <c r="Z23" s="37"/>
      <c r="AA23" s="31"/>
      <c r="AB23" s="32" t="s">
        <v>45</v>
      </c>
      <c r="AC23" s="37"/>
      <c r="AD23" s="31"/>
      <c r="AE23" s="32" t="s">
        <v>45</v>
      </c>
      <c r="AF23" s="33"/>
      <c r="AG23" s="31"/>
      <c r="AH23" s="32" t="s">
        <v>45</v>
      </c>
      <c r="AI23" s="33"/>
      <c r="AJ23" s="31"/>
      <c r="AK23" s="32"/>
      <c r="AL23" s="33"/>
      <c r="AM23" s="31"/>
      <c r="AN23" s="32"/>
      <c r="AO23" s="33"/>
      <c r="AP23" s="31"/>
      <c r="AQ23" s="32"/>
    </row>
    <row r="24" spans="1:43" s="5" customFormat="1" x14ac:dyDescent="0.2">
      <c r="A24" s="93" t="str">
        <f>VLOOKUP("&lt;Zeilentitel_12&gt;",Uebersetzungen!$B$3:$E$31,Uebersetzungen!$B$2+1,FALSE)</f>
        <v>Grüne</v>
      </c>
      <c r="B24" s="37"/>
      <c r="C24" s="31"/>
      <c r="D24" s="32" t="s">
        <v>45</v>
      </c>
      <c r="E24" s="37"/>
      <c r="F24" s="31"/>
      <c r="G24" s="32" t="s">
        <v>45</v>
      </c>
      <c r="H24" s="37"/>
      <c r="I24" s="31"/>
      <c r="J24" s="32" t="s">
        <v>45</v>
      </c>
      <c r="K24" s="37"/>
      <c r="L24" s="31"/>
      <c r="M24" s="32" t="s">
        <v>45</v>
      </c>
      <c r="N24" s="37"/>
      <c r="O24" s="31"/>
      <c r="P24" s="32" t="s">
        <v>45</v>
      </c>
      <c r="Q24" s="37"/>
      <c r="R24" s="31"/>
      <c r="S24" s="32" t="s">
        <v>45</v>
      </c>
      <c r="T24" s="37">
        <v>2</v>
      </c>
      <c r="U24" s="31">
        <v>3</v>
      </c>
      <c r="V24" s="32">
        <v>40</v>
      </c>
      <c r="W24" s="37"/>
      <c r="X24" s="31"/>
      <c r="Y24" s="32" t="s">
        <v>45</v>
      </c>
      <c r="Z24" s="37"/>
      <c r="AA24" s="31"/>
      <c r="AB24" s="32" t="s">
        <v>45</v>
      </c>
      <c r="AC24" s="37"/>
      <c r="AD24" s="31"/>
      <c r="AE24" s="32" t="s">
        <v>45</v>
      </c>
      <c r="AF24" s="33">
        <v>1</v>
      </c>
      <c r="AG24" s="31">
        <v>3</v>
      </c>
      <c r="AH24" s="32">
        <v>25</v>
      </c>
      <c r="AI24" s="33"/>
      <c r="AJ24" s="31"/>
      <c r="AK24" s="32"/>
      <c r="AL24" s="33">
        <v>3</v>
      </c>
      <c r="AM24" s="31">
        <v>2</v>
      </c>
      <c r="AN24" s="32">
        <f t="shared" si="1"/>
        <v>60</v>
      </c>
      <c r="AO24" s="33">
        <v>5</v>
      </c>
      <c r="AP24" s="31">
        <v>5</v>
      </c>
      <c r="AQ24" s="32">
        <f t="shared" si="0"/>
        <v>50</v>
      </c>
    </row>
    <row r="25" spans="1:43" s="5" customFormat="1" x14ac:dyDescent="0.2">
      <c r="A25" s="93" t="str">
        <f>VLOOKUP("&lt;Zeilentitel_13&gt;",Uebersetzungen!$B$3:$E$31,Uebersetzungen!$B$2+1,FALSE)</f>
        <v>SD</v>
      </c>
      <c r="B25" s="37"/>
      <c r="C25" s="31"/>
      <c r="D25" s="32" t="s">
        <v>45</v>
      </c>
      <c r="E25" s="37"/>
      <c r="F25" s="31">
        <v>5</v>
      </c>
      <c r="G25" s="32">
        <v>0</v>
      </c>
      <c r="H25" s="37"/>
      <c r="I25" s="31"/>
      <c r="J25" s="32" t="s">
        <v>45</v>
      </c>
      <c r="K25" s="37"/>
      <c r="L25" s="31"/>
      <c r="M25" s="32" t="s">
        <v>45</v>
      </c>
      <c r="N25" s="37"/>
      <c r="O25" s="31"/>
      <c r="P25" s="32" t="s">
        <v>45</v>
      </c>
      <c r="Q25" s="37"/>
      <c r="R25" s="31"/>
      <c r="S25" s="32" t="s">
        <v>45</v>
      </c>
      <c r="T25" s="37"/>
      <c r="U25" s="31"/>
      <c r="V25" s="32" t="s">
        <v>45</v>
      </c>
      <c r="W25" s="37"/>
      <c r="X25" s="31"/>
      <c r="Y25" s="32" t="s">
        <v>45</v>
      </c>
      <c r="Z25" s="37"/>
      <c r="AA25" s="31"/>
      <c r="AB25" s="32" t="s">
        <v>45</v>
      </c>
      <c r="AC25" s="37"/>
      <c r="AD25" s="31"/>
      <c r="AE25" s="32" t="s">
        <v>45</v>
      </c>
      <c r="AF25" s="33"/>
      <c r="AG25" s="31"/>
      <c r="AH25" s="32" t="s">
        <v>45</v>
      </c>
      <c r="AI25" s="33"/>
      <c r="AJ25" s="31"/>
      <c r="AK25" s="32"/>
      <c r="AL25" s="33"/>
      <c r="AM25" s="31"/>
      <c r="AN25" s="32"/>
      <c r="AO25" s="33"/>
      <c r="AP25" s="31"/>
      <c r="AQ25" s="32"/>
    </row>
    <row r="26" spans="1:43" s="5" customFormat="1" x14ac:dyDescent="0.2">
      <c r="A26" s="93" t="str">
        <f>VLOOKUP("&lt;Zeilentitel_14&gt;",Uebersetzungen!$B$3:$E$31,Uebersetzungen!$B$2+1,FALSE)</f>
        <v>EDU</v>
      </c>
      <c r="B26" s="37"/>
      <c r="C26" s="31"/>
      <c r="D26" s="32" t="s">
        <v>45</v>
      </c>
      <c r="E26" s="37"/>
      <c r="F26" s="31"/>
      <c r="G26" s="32" t="s">
        <v>45</v>
      </c>
      <c r="H26" s="37"/>
      <c r="I26" s="31"/>
      <c r="J26" s="32" t="s">
        <v>45</v>
      </c>
      <c r="K26" s="37"/>
      <c r="L26" s="31"/>
      <c r="M26" s="32" t="s">
        <v>45</v>
      </c>
      <c r="N26" s="37"/>
      <c r="O26" s="31"/>
      <c r="P26" s="32" t="s">
        <v>45</v>
      </c>
      <c r="Q26" s="37"/>
      <c r="R26" s="31"/>
      <c r="S26" s="32" t="s">
        <v>45</v>
      </c>
      <c r="T26" s="37"/>
      <c r="U26" s="31"/>
      <c r="V26" s="32" t="s">
        <v>45</v>
      </c>
      <c r="W26" s="37"/>
      <c r="X26" s="31"/>
      <c r="Y26" s="32" t="s">
        <v>45</v>
      </c>
      <c r="Z26" s="37">
        <v>2</v>
      </c>
      <c r="AA26" s="31">
        <v>1</v>
      </c>
      <c r="AB26" s="32">
        <v>66.666666666666671</v>
      </c>
      <c r="AC26" s="37">
        <v>3</v>
      </c>
      <c r="AD26" s="31">
        <v>2</v>
      </c>
      <c r="AE26" s="32">
        <v>60</v>
      </c>
      <c r="AF26" s="33"/>
      <c r="AG26" s="31">
        <v>1</v>
      </c>
      <c r="AH26" s="32">
        <v>0</v>
      </c>
      <c r="AI26" s="33"/>
      <c r="AJ26" s="31"/>
      <c r="AK26" s="32"/>
      <c r="AL26" s="33"/>
      <c r="AM26" s="31"/>
      <c r="AN26" s="32"/>
      <c r="AO26" s="33">
        <v>1</v>
      </c>
      <c r="AP26" s="31">
        <v>4</v>
      </c>
      <c r="AQ26" s="32">
        <f t="shared" si="0"/>
        <v>20</v>
      </c>
    </row>
    <row r="27" spans="1:43" s="5" customFormat="1" x14ac:dyDescent="0.2">
      <c r="A27" s="93" t="str">
        <f>VLOOKUP("&lt;Zeilentitel_15&gt;",Uebersetzungen!$B$3:$E$31,Uebersetzungen!$B$2+1,FALSE)</f>
        <v>Übrige</v>
      </c>
      <c r="B27" s="37"/>
      <c r="C27" s="31"/>
      <c r="D27" s="32" t="s">
        <v>45</v>
      </c>
      <c r="E27" s="37"/>
      <c r="F27" s="31">
        <v>1</v>
      </c>
      <c r="G27" s="32">
        <v>0</v>
      </c>
      <c r="H27" s="37"/>
      <c r="I27" s="31"/>
      <c r="J27" s="32" t="s">
        <v>45</v>
      </c>
      <c r="K27" s="37"/>
      <c r="L27" s="31"/>
      <c r="M27" s="32" t="s">
        <v>45</v>
      </c>
      <c r="N27" s="37">
        <v>2</v>
      </c>
      <c r="O27" s="31">
        <v>5</v>
      </c>
      <c r="P27" s="32">
        <v>28.571428571428573</v>
      </c>
      <c r="Q27" s="37">
        <v>1</v>
      </c>
      <c r="R27" s="31">
        <v>10</v>
      </c>
      <c r="S27" s="32">
        <v>9.0909090909090917</v>
      </c>
      <c r="T27" s="37">
        <v>2</v>
      </c>
      <c r="U27" s="31">
        <v>5</v>
      </c>
      <c r="V27" s="32">
        <v>28.571428571428573</v>
      </c>
      <c r="W27" s="37">
        <v>4</v>
      </c>
      <c r="X27" s="31">
        <v>8</v>
      </c>
      <c r="Y27" s="32">
        <v>33.333333333333336</v>
      </c>
      <c r="Z27" s="37"/>
      <c r="AA27" s="31"/>
      <c r="AB27" s="32" t="s">
        <v>45</v>
      </c>
      <c r="AC27" s="37"/>
      <c r="AD27" s="31">
        <v>1</v>
      </c>
      <c r="AE27" s="32">
        <v>0</v>
      </c>
      <c r="AF27" s="33"/>
      <c r="AG27" s="31"/>
      <c r="AH27" s="32" t="s">
        <v>45</v>
      </c>
      <c r="AI27" s="33"/>
      <c r="AJ27" s="31">
        <v>1</v>
      </c>
      <c r="AK27" s="32">
        <v>0</v>
      </c>
      <c r="AL27" s="33"/>
      <c r="AM27" s="31"/>
      <c r="AN27" s="32"/>
      <c r="AO27" s="33"/>
      <c r="AP27" s="31">
        <v>3</v>
      </c>
      <c r="AQ27" s="32">
        <f t="shared" si="0"/>
        <v>0</v>
      </c>
    </row>
    <row r="28" spans="1:43" s="5" customFormat="1" ht="18" customHeight="1" x14ac:dyDescent="0.2">
      <c r="A28" s="94" t="str">
        <f>VLOOKUP("&lt;Zeilentitel_16&gt;",Uebersetzungen!$B$3:$E$31,Uebersetzungen!$B$2+1,FALSE)</f>
        <v>Total</v>
      </c>
      <c r="B28" s="72">
        <v>3</v>
      </c>
      <c r="C28" s="73">
        <v>17</v>
      </c>
      <c r="D28" s="74">
        <v>15</v>
      </c>
      <c r="E28" s="72">
        <v>4</v>
      </c>
      <c r="F28" s="73">
        <v>22</v>
      </c>
      <c r="G28" s="74">
        <v>15.384615384615385</v>
      </c>
      <c r="H28" s="72">
        <v>4</v>
      </c>
      <c r="I28" s="73">
        <v>21</v>
      </c>
      <c r="J28" s="74">
        <v>16</v>
      </c>
      <c r="K28" s="72">
        <v>4</v>
      </c>
      <c r="L28" s="73">
        <v>16</v>
      </c>
      <c r="M28" s="74">
        <v>20</v>
      </c>
      <c r="N28" s="72">
        <v>9</v>
      </c>
      <c r="O28" s="73">
        <v>23</v>
      </c>
      <c r="P28" s="74">
        <v>28.125</v>
      </c>
      <c r="Q28" s="72">
        <v>9</v>
      </c>
      <c r="R28" s="73">
        <v>32</v>
      </c>
      <c r="S28" s="74">
        <v>21.95121951219512</v>
      </c>
      <c r="T28" s="72">
        <v>23</v>
      </c>
      <c r="U28" s="73">
        <v>28</v>
      </c>
      <c r="V28" s="74">
        <v>45.098039215686271</v>
      </c>
      <c r="W28" s="72">
        <v>18</v>
      </c>
      <c r="X28" s="73">
        <v>39</v>
      </c>
      <c r="Y28" s="74">
        <v>31.578947368421051</v>
      </c>
      <c r="Z28" s="72">
        <v>13</v>
      </c>
      <c r="AA28" s="73">
        <v>30</v>
      </c>
      <c r="AB28" s="74">
        <v>30.232558139534884</v>
      </c>
      <c r="AC28" s="72">
        <v>22</v>
      </c>
      <c r="AD28" s="73">
        <v>39</v>
      </c>
      <c r="AE28" s="74">
        <v>36.065573770491802</v>
      </c>
      <c r="AF28" s="73">
        <v>17</v>
      </c>
      <c r="AG28" s="73">
        <v>52</v>
      </c>
      <c r="AH28" s="74">
        <v>42.97520661157025</v>
      </c>
      <c r="AI28" s="73">
        <v>23</v>
      </c>
      <c r="AJ28" s="73">
        <v>47</v>
      </c>
      <c r="AK28" s="74">
        <v>32.857142857142854</v>
      </c>
      <c r="AL28" s="73">
        <f>SUM(AL13:AL27)</f>
        <v>35</v>
      </c>
      <c r="AM28" s="73">
        <f>SUM(AM13:AM27)</f>
        <v>65</v>
      </c>
      <c r="AN28" s="74">
        <f t="shared" si="1"/>
        <v>35</v>
      </c>
      <c r="AO28" s="73">
        <f>SUM(AO13:AO27)</f>
        <v>43</v>
      </c>
      <c r="AP28" s="73">
        <f>SUM(AP13:AP27)</f>
        <v>79</v>
      </c>
      <c r="AQ28" s="74">
        <f>(AO28/(AP28+AO28))*100</f>
        <v>35.245901639344261</v>
      </c>
    </row>
    <row r="30" spans="1:43" x14ac:dyDescent="0.2">
      <c r="A30" s="67" t="str">
        <f>VLOOKUP("&lt;Quelle_1&gt;",Uebersetzungen!$B$3:$E$52,Uebersetzungen!$B$2+1,FALSE)</f>
        <v>Quelle: BFS (Statistik der Nationalratswahlen)</v>
      </c>
    </row>
    <row r="31" spans="1:43" x14ac:dyDescent="0.2">
      <c r="A31" s="68" t="str">
        <f>VLOOKUP("&lt;Aktualisierung&gt;",Uebersetzungen!$B$3:$E$52,Uebersetzungen!$B$2+1,FALSE)</f>
        <v>Letztmals aktualisiert am: 21.03.2024</v>
      </c>
    </row>
  </sheetData>
  <sheetProtection sheet="1" objects="1" scenarios="1"/>
  <mergeCells count="15">
    <mergeCell ref="AF11:AH11"/>
    <mergeCell ref="AO11:AQ11"/>
    <mergeCell ref="AL11:AN11"/>
    <mergeCell ref="AI11:AK11"/>
    <mergeCell ref="A7:D7"/>
    <mergeCell ref="Q11:S11"/>
    <mergeCell ref="T11:V11"/>
    <mergeCell ref="W11:Y11"/>
    <mergeCell ref="Z11:AB11"/>
    <mergeCell ref="AC11:AE11"/>
    <mergeCell ref="B11:D11"/>
    <mergeCell ref="E11:G11"/>
    <mergeCell ref="H11:J11"/>
    <mergeCell ref="K11:M11"/>
    <mergeCell ref="N11:P11"/>
  </mergeCells>
  <phoneticPr fontId="0" type="noConversion"/>
  <pageMargins left="0.2" right="0.19" top="0.69" bottom="0.54" header="0.4921259845" footer="0.23"/>
  <pageSetup paperSize="9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14</xdr:col>
                    <xdr:colOff>19050</xdr:colOff>
                    <xdr:row>1</xdr:row>
                    <xdr:rowOff>114300</xdr:rowOff>
                  </from>
                  <to>
                    <xdr:col>16</xdr:col>
                    <xdr:colOff>304800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14</xdr:col>
                    <xdr:colOff>19050</xdr:colOff>
                    <xdr:row>2</xdr:row>
                    <xdr:rowOff>104775</xdr:rowOff>
                  </from>
                  <to>
                    <xdr:col>18</xdr:col>
                    <xdr:colOff>38100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14</xdr:col>
                    <xdr:colOff>19050</xdr:colOff>
                    <xdr:row>3</xdr:row>
                    <xdr:rowOff>66675</xdr:rowOff>
                  </from>
                  <to>
                    <xdr:col>16</xdr:col>
                    <xdr:colOff>304800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7"/>
  <sheetViews>
    <sheetView showGridLines="0" zoomScaleNormal="100" workbookViewId="0"/>
  </sheetViews>
  <sheetFormatPr baseColWidth="10" defaultColWidth="7" defaultRowHeight="14.25" x14ac:dyDescent="0.2"/>
  <cols>
    <col min="1" max="1" width="26.1640625" style="3" customWidth="1"/>
    <col min="2" max="16384" width="7" style="3"/>
  </cols>
  <sheetData>
    <row r="1" spans="1:29" s="65" customFormat="1" ht="12.75" x14ac:dyDescent="0.2"/>
    <row r="2" spans="1:29" s="65" customFormat="1" ht="15.75" x14ac:dyDescent="0.25">
      <c r="B2" s="47"/>
      <c r="C2" s="66"/>
      <c r="D2" s="66"/>
    </row>
    <row r="3" spans="1:29" s="65" customFormat="1" ht="15.75" x14ac:dyDescent="0.25">
      <c r="B3" s="47"/>
      <c r="C3" s="66"/>
      <c r="D3" s="66"/>
    </row>
    <row r="4" spans="1:29" s="65" customFormat="1" ht="15.75" x14ac:dyDescent="0.25">
      <c r="B4" s="47"/>
      <c r="C4" s="66"/>
      <c r="D4" s="66"/>
    </row>
    <row r="5" spans="1:29" s="65" customFormat="1" ht="12.75" x14ac:dyDescent="0.2"/>
    <row r="6" spans="1:29" s="46" customFormat="1" ht="12.75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29" s="48" customFormat="1" ht="15.75" customHeight="1" x14ac:dyDescent="0.25">
      <c r="A7" s="104" t="str">
        <f>VLOOKUP("&lt;Fachbereich&gt;",Uebersetzungen!$B$3:$E$31,Uebersetzungen!$B$2+1,FALSE)</f>
        <v>Daten &amp; Statistik</v>
      </c>
      <c r="B7" s="104"/>
      <c r="C7" s="104"/>
      <c r="D7" s="104"/>
      <c r="E7" s="49"/>
      <c r="F7" s="49"/>
      <c r="G7" s="49"/>
      <c r="H7" s="49"/>
      <c r="I7" s="49"/>
    </row>
    <row r="9" spans="1:29" s="21" customFormat="1" ht="18" x14ac:dyDescent="0.2">
      <c r="A9" s="51" t="str">
        <f>VLOOKUP("&lt;T3Titel&gt;",Uebersetzungen!$B$3:$E$133,Uebersetzungen!$B$2+1,FALSE)</f>
        <v>Nationalratswahlen Graubünden: Parteistärken in %, seit 1919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9" x14ac:dyDescent="0.2">
      <c r="A10" s="22"/>
      <c r="L10" s="23"/>
      <c r="M10" s="23"/>
      <c r="N10" s="23"/>
      <c r="O10" s="23"/>
      <c r="P10" s="23"/>
      <c r="Z10" s="23"/>
    </row>
    <row r="11" spans="1:29" s="21" customFormat="1" x14ac:dyDescent="0.2">
      <c r="A11" s="95" t="str">
        <f>VLOOKUP("&lt;SpaltenTitel_1&gt;",Uebersetzungen!$B$3:$E$31,Uebersetzungen!$B$2+1,FALSE)</f>
        <v>Partei</v>
      </c>
      <c r="B11" s="92">
        <v>1919</v>
      </c>
      <c r="C11" s="92">
        <v>1922</v>
      </c>
      <c r="D11" s="92">
        <v>1925</v>
      </c>
      <c r="E11" s="92">
        <v>1928</v>
      </c>
      <c r="F11" s="92">
        <v>1931</v>
      </c>
      <c r="G11" s="92">
        <v>1935</v>
      </c>
      <c r="H11" s="92">
        <v>1939</v>
      </c>
      <c r="I11" s="92">
        <v>1943</v>
      </c>
      <c r="J11" s="92">
        <v>1947</v>
      </c>
      <c r="K11" s="92">
        <v>1951</v>
      </c>
      <c r="L11" s="92">
        <v>1955</v>
      </c>
      <c r="M11" s="92">
        <v>1959</v>
      </c>
      <c r="N11" s="92">
        <v>1963</v>
      </c>
      <c r="O11" s="92">
        <v>1967</v>
      </c>
      <c r="P11" s="92">
        <v>1971</v>
      </c>
      <c r="Q11" s="92">
        <v>1975</v>
      </c>
      <c r="R11" s="92">
        <v>1979</v>
      </c>
      <c r="S11" s="92">
        <v>1983</v>
      </c>
      <c r="T11" s="92">
        <v>1987</v>
      </c>
      <c r="U11" s="92">
        <v>1991</v>
      </c>
      <c r="V11" s="92">
        <v>1995</v>
      </c>
      <c r="W11" s="92">
        <v>1999</v>
      </c>
      <c r="X11" s="92">
        <v>2003</v>
      </c>
      <c r="Y11" s="92">
        <v>2007</v>
      </c>
      <c r="Z11" s="92">
        <v>2011</v>
      </c>
      <c r="AA11" s="92">
        <v>2015</v>
      </c>
      <c r="AB11" s="92">
        <v>2019</v>
      </c>
      <c r="AC11" s="92">
        <v>2023</v>
      </c>
    </row>
    <row r="12" spans="1:29" x14ac:dyDescent="0.2">
      <c r="A12" s="93" t="str">
        <f>VLOOKUP("&lt;T3Zeilentitel_1&gt;",Uebersetzungen!$B$3:$E$133,Uebersetzungen!$B$2+1,FALSE)</f>
        <v>FDP</v>
      </c>
      <c r="B12" s="38">
        <v>42.332726905195067</v>
      </c>
      <c r="C12" s="38">
        <v>38.267843541377303</v>
      </c>
      <c r="D12" s="38">
        <v>29.608253044900927</v>
      </c>
      <c r="E12" s="38">
        <v>27.169226905529282</v>
      </c>
      <c r="F12" s="38">
        <v>26.986627883488868</v>
      </c>
      <c r="G12" s="38">
        <v>22.706926636825735</v>
      </c>
      <c r="H12" s="38">
        <v>17.399854333576112</v>
      </c>
      <c r="I12" s="38">
        <v>14.292209760533495</v>
      </c>
      <c r="J12" s="38">
        <v>16.318037454824225</v>
      </c>
      <c r="K12" s="38">
        <v>16.635394776343439</v>
      </c>
      <c r="L12" s="38">
        <v>15.974188922746013</v>
      </c>
      <c r="M12" s="38">
        <v>16.144817690128406</v>
      </c>
      <c r="N12" s="38">
        <v>15.428720354443575</v>
      </c>
      <c r="O12" s="38">
        <v>14.997362272967067</v>
      </c>
      <c r="P12" s="38">
        <v>14.800871250724377</v>
      </c>
      <c r="Q12" s="38">
        <v>18.113667385753473</v>
      </c>
      <c r="R12" s="38">
        <v>22.897480646171744</v>
      </c>
      <c r="S12" s="38">
        <v>20.082176943753012</v>
      </c>
      <c r="T12" s="38">
        <v>18.253347083847448</v>
      </c>
      <c r="U12" s="38">
        <v>18.085087366492381</v>
      </c>
      <c r="V12" s="38">
        <v>16.496667592968006</v>
      </c>
      <c r="W12" s="38">
        <v>15.118230296967399</v>
      </c>
      <c r="X12" s="38">
        <v>15.822602284553559</v>
      </c>
      <c r="Y12" s="38">
        <v>19.140183109850824</v>
      </c>
      <c r="Z12" s="38">
        <v>11.900552111912747</v>
      </c>
      <c r="AA12" s="38">
        <v>13.3</v>
      </c>
      <c r="AB12" s="38">
        <v>13.6</v>
      </c>
      <c r="AC12" s="38">
        <v>13.7</v>
      </c>
    </row>
    <row r="13" spans="1:29" x14ac:dyDescent="0.2">
      <c r="A13" s="93" t="str">
        <f>VLOOKUP("&lt;T3Zeilentitel_2&gt;",Uebersetzungen!$B$3:$E$133,Uebersetzungen!$B$2+1,FALSE)</f>
        <v>Die Mitte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9" x14ac:dyDescent="0.2">
      <c r="A14" s="93" t="str">
        <f>VLOOKUP("&lt;T3Zeilentitel_3&gt;",Uebersetzungen!$B$3:$E$133,Uebersetzungen!$B$2+1,FALSE)</f>
        <v>CVP</v>
      </c>
      <c r="B14" s="38">
        <v>34.752375176874871</v>
      </c>
      <c r="C14" s="38">
        <v>35.413773018504415</v>
      </c>
      <c r="D14" s="38">
        <v>35.679876386111616</v>
      </c>
      <c r="E14" s="38">
        <v>37.436691641203801</v>
      </c>
      <c r="F14" s="38">
        <v>37.349008201026137</v>
      </c>
      <c r="G14" s="38">
        <v>35.228738335482888</v>
      </c>
      <c r="H14" s="38">
        <v>34.024034959941737</v>
      </c>
      <c r="I14" s="38">
        <v>35.07881176113974</v>
      </c>
      <c r="J14" s="38">
        <v>38.086372430913009</v>
      </c>
      <c r="K14" s="38">
        <v>41.48153707595317</v>
      </c>
      <c r="L14" s="38">
        <v>41.183007707474459</v>
      </c>
      <c r="M14" s="38">
        <v>40.45402700614445</v>
      </c>
      <c r="N14" s="38">
        <v>41.598719237499537</v>
      </c>
      <c r="O14" s="38">
        <v>40.425050870449923</v>
      </c>
      <c r="P14" s="38">
        <v>37.261555062646124</v>
      </c>
      <c r="Q14" s="38">
        <v>35.898793914889403</v>
      </c>
      <c r="R14" s="38">
        <v>35.415492012350654</v>
      </c>
      <c r="S14" s="38">
        <v>33.281165382341399</v>
      </c>
      <c r="T14" s="38">
        <v>28.45527706672069</v>
      </c>
      <c r="U14" s="38">
        <v>25.493140277963981</v>
      </c>
      <c r="V14" s="38">
        <v>26.846035050635273</v>
      </c>
      <c r="W14" s="38">
        <v>25.493130460739149</v>
      </c>
      <c r="X14" s="38">
        <v>23.526805679201203</v>
      </c>
      <c r="Y14" s="38">
        <v>20.328737990014929</v>
      </c>
      <c r="Z14" s="38">
        <v>16.636859397757682</v>
      </c>
      <c r="AA14" s="38">
        <v>16.8</v>
      </c>
      <c r="AB14" s="38">
        <v>16.3</v>
      </c>
      <c r="AC14" s="38">
        <v>23.9</v>
      </c>
    </row>
    <row r="15" spans="1:29" x14ac:dyDescent="0.2">
      <c r="A15" s="93" t="str">
        <f>VLOOKUP("&lt;T3Zeilentitel_4&gt;",Uebersetzungen!$B$3:$E$133,Uebersetzungen!$B$2+1,FALSE)</f>
        <v>SP</v>
      </c>
      <c r="B15" s="38">
        <v>12.872447948251464</v>
      </c>
      <c r="C15" s="38">
        <v>15.014113535552667</v>
      </c>
      <c r="D15" s="38">
        <v>12.193237593164879</v>
      </c>
      <c r="E15" s="38">
        <v>12.93374073919049</v>
      </c>
      <c r="F15" s="38">
        <v>16.672726538197391</v>
      </c>
      <c r="G15" s="38">
        <v>13.807753584705257</v>
      </c>
      <c r="H15" s="38">
        <v>9.6722505462490886</v>
      </c>
      <c r="I15" s="38">
        <v>10.779781752046075</v>
      </c>
      <c r="J15" s="38">
        <v>12.1636914540211</v>
      </c>
      <c r="K15" s="38">
        <v>13.149204443110177</v>
      </c>
      <c r="L15" s="38">
        <v>13.271195554758917</v>
      </c>
      <c r="M15" s="38">
        <v>15.063100187644874</v>
      </c>
      <c r="N15" s="38">
        <v>13.559700658996984</v>
      </c>
      <c r="O15" s="38">
        <v>11.263094430627779</v>
      </c>
      <c r="P15" s="38">
        <v>13.908438742681295</v>
      </c>
      <c r="Q15" s="38">
        <v>15.236028401775757</v>
      </c>
      <c r="R15" s="38">
        <v>20.529825032442833</v>
      </c>
      <c r="S15" s="38">
        <v>24.651592613018138</v>
      </c>
      <c r="T15" s="38">
        <v>19.552586508535757</v>
      </c>
      <c r="U15" s="38">
        <v>21.266925861375519</v>
      </c>
      <c r="V15" s="38">
        <v>21.623973286076776</v>
      </c>
      <c r="W15" s="38">
        <v>26.627431365114195</v>
      </c>
      <c r="X15" s="38">
        <v>24.916513067429022</v>
      </c>
      <c r="Y15" s="38">
        <v>23.691156729362426</v>
      </c>
      <c r="Z15" s="38">
        <v>15.606476306608407</v>
      </c>
      <c r="AA15" s="38">
        <v>17.600000000000001</v>
      </c>
      <c r="AB15" s="38">
        <v>17.100000000000001</v>
      </c>
      <c r="AC15" s="38">
        <v>17.8</v>
      </c>
    </row>
    <row r="16" spans="1:29" x14ac:dyDescent="0.2">
      <c r="A16" s="93" t="str">
        <f>VLOOKUP("&lt;T3Zeilentitel_5&gt;",Uebersetzungen!$B$3:$E$133,Uebersetzungen!$B$2+1,FALSE)</f>
        <v>SVP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>
        <v>34.029134943948208</v>
      </c>
      <c r="Q16" s="38">
        <v>26.934321970039488</v>
      </c>
      <c r="R16" s="38">
        <v>21.157202309034769</v>
      </c>
      <c r="S16" s="38">
        <v>21.98506506088745</v>
      </c>
      <c r="T16" s="38">
        <v>19.985359385646678</v>
      </c>
      <c r="U16" s="38">
        <v>19.517808464047906</v>
      </c>
      <c r="V16" s="38">
        <v>26.951268956908759</v>
      </c>
      <c r="W16" s="38">
        <v>26.996926254306072</v>
      </c>
      <c r="X16" s="38">
        <v>33.859123376759079</v>
      </c>
      <c r="Y16" s="38">
        <v>34.704897509766354</v>
      </c>
      <c r="Z16" s="38">
        <v>24.485993970802426</v>
      </c>
      <c r="AA16" s="38">
        <v>29.7</v>
      </c>
      <c r="AB16" s="38">
        <v>29.9</v>
      </c>
      <c r="AC16" s="38">
        <v>30.6</v>
      </c>
    </row>
    <row r="17" spans="1:29" x14ac:dyDescent="0.2">
      <c r="A17" s="93" t="str">
        <f>VLOOKUP("&lt;T3Zeilentitel_6&gt;",Uebersetzungen!$B$3:$E$133,Uebersetzungen!$B$2+1,FALSE)</f>
        <v>LdU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>
        <v>1.0619057814870323</v>
      </c>
      <c r="W17" s="38"/>
      <c r="X17" s="38"/>
      <c r="Y17" s="38"/>
      <c r="Z17" s="38"/>
      <c r="AA17" s="38"/>
      <c r="AB17" s="38"/>
      <c r="AC17" s="38"/>
    </row>
    <row r="18" spans="1:29" x14ac:dyDescent="0.2">
      <c r="A18" s="93" t="str">
        <f>VLOOKUP("&lt;T3Zeilentitel_7&gt;",Uebersetzungen!$B$3:$E$133,Uebersetzungen!$B$2+1,FALSE)</f>
        <v>EVP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>
        <v>1</v>
      </c>
    </row>
    <row r="19" spans="1:29" x14ac:dyDescent="0.2">
      <c r="A19" s="93" t="str">
        <f>VLOOKUP("&lt;T3Zeilentitel_8&gt;",Uebersetzungen!$B$3:$E$133,Uebersetzungen!$B$2+1,FALSE)</f>
        <v>CSP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>
        <v>6.9321177995262993</v>
      </c>
      <c r="V19" s="38"/>
      <c r="W19" s="38"/>
      <c r="X19" s="38"/>
      <c r="Y19" s="38"/>
      <c r="Z19" s="38"/>
      <c r="AA19" s="38"/>
      <c r="AB19" s="38"/>
      <c r="AC19" s="38"/>
    </row>
    <row r="20" spans="1:29" x14ac:dyDescent="0.2">
      <c r="A20" s="93" t="str">
        <f>VLOOKUP("&lt;T3Zeilentitel_9&gt;",Uebersetzungen!$B$3:$E$133,Uebersetzungen!$B$2+1,FALSE)</f>
        <v>GLP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>
        <v>8.2501778274565591</v>
      </c>
      <c r="AA20" s="38">
        <v>7.9</v>
      </c>
      <c r="AB20" s="38">
        <v>8.3000000000000007</v>
      </c>
      <c r="AC20" s="38">
        <v>6.3</v>
      </c>
    </row>
    <row r="21" spans="1:29" x14ac:dyDescent="0.2">
      <c r="A21" s="93" t="str">
        <f>VLOOKUP("&lt;T3Zeilentitel_10&gt;",Uebersetzungen!$B$3:$E$133,Uebersetzungen!$B$2+1,FALSE)</f>
        <v>BDP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>
        <v>20.454222131897165</v>
      </c>
      <c r="AA21" s="38">
        <v>14.5</v>
      </c>
      <c r="AB21" s="38">
        <v>9.1</v>
      </c>
      <c r="AC21" s="38"/>
    </row>
    <row r="22" spans="1:29" x14ac:dyDescent="0.2">
      <c r="A22" s="93" t="str">
        <f>VLOOKUP("&lt;T3Zeilentitel_11&gt;",Uebersetzungen!$B$3:$E$133,Uebersetzungen!$B$2+1,FALSE)</f>
        <v>FGA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>
        <v>6.0528351227417554</v>
      </c>
      <c r="U22" s="38">
        <v>4.2673280600616703</v>
      </c>
      <c r="V22" s="38">
        <v>1.8632323664873285</v>
      </c>
      <c r="W22" s="38"/>
      <c r="X22" s="38"/>
      <c r="Y22" s="38"/>
      <c r="Z22" s="38"/>
      <c r="AA22" s="38"/>
      <c r="AB22" s="38"/>
      <c r="AC22" s="38"/>
    </row>
    <row r="23" spans="1:29" x14ac:dyDescent="0.2">
      <c r="A23" s="93" t="str">
        <f>VLOOKUP("&lt;T3Zeilentitel_12&gt;",Uebersetzungen!$B$3:$E$133,Uebersetzungen!$B$2+1,FALSE)</f>
        <v>Grüne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>
        <v>3.46588553648792</v>
      </c>
      <c r="W23" s="38"/>
      <c r="X23" s="38"/>
      <c r="Y23" s="38"/>
      <c r="Z23" s="38">
        <v>2.1579785252176271</v>
      </c>
      <c r="AA23" s="38"/>
      <c r="AB23" s="38">
        <v>5.5</v>
      </c>
      <c r="AC23" s="38">
        <v>5.2</v>
      </c>
    </row>
    <row r="24" spans="1:29" x14ac:dyDescent="0.2">
      <c r="A24" s="93" t="str">
        <f>VLOOKUP("&lt;T3Zeilentitel_13&gt;",Uebersetzungen!$B$3:$E$133,Uebersetzungen!$B$2+1,FALSE)</f>
        <v>SD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>
        <v>3.522233561115919</v>
      </c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 x14ac:dyDescent="0.2">
      <c r="A25" s="93" t="str">
        <f>VLOOKUP("&lt;T3Zeilentitel_14&gt;",Uebersetzungen!$B$3:$E$133,Uebersetzungen!$B$2+1,FALSE)</f>
        <v>EDU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>
        <v>1.8749555920571435</v>
      </c>
      <c r="Y25" s="38">
        <v>1.5599782802153876</v>
      </c>
      <c r="Z25" s="38">
        <v>0.50773972834739023</v>
      </c>
      <c r="AA25" s="38"/>
      <c r="AB25" s="38"/>
      <c r="AC25" s="38">
        <v>1.2</v>
      </c>
    </row>
    <row r="26" spans="1:29" x14ac:dyDescent="0.2">
      <c r="A26" s="93" t="str">
        <f>VLOOKUP("&lt;T3Zeilentitel_15&gt;",Uebersetzungen!$B$3:$E$133,Uebersetzungen!$B$2+1,FALSE)</f>
        <v>Dem.</v>
      </c>
      <c r="B26" s="38">
        <v>10.042449969678593</v>
      </c>
      <c r="C26" s="38">
        <v>11.304269904565617</v>
      </c>
      <c r="D26" s="38">
        <v>22.518632975822577</v>
      </c>
      <c r="E26" s="38">
        <v>22.46034071407643</v>
      </c>
      <c r="F26" s="38">
        <v>18.991637377287603</v>
      </c>
      <c r="G26" s="38">
        <v>28.256581442986118</v>
      </c>
      <c r="H26" s="38">
        <v>38.903860160233066</v>
      </c>
      <c r="I26" s="38">
        <v>39.849196726280688</v>
      </c>
      <c r="J26" s="38">
        <v>33.431898660241664</v>
      </c>
      <c r="K26" s="38">
        <v>28.733863704593215</v>
      </c>
      <c r="L26" s="38">
        <v>29.571607815020613</v>
      </c>
      <c r="M26" s="38">
        <v>28.338055116082266</v>
      </c>
      <c r="N26" s="38">
        <v>29.412859749059905</v>
      </c>
      <c r="O26" s="38">
        <v>33.314492425955237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x14ac:dyDescent="0.2">
      <c r="A27" s="93" t="str">
        <f>VLOOKUP("&lt;T3Zeilentitel_16&gt;",Uebersetzungen!$B$3:$E$133,Uebersetzungen!$B$2+1,FALSE)</f>
        <v>Übrige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>
        <v>0.29495476642596641</v>
      </c>
      <c r="R27" s="39"/>
      <c r="S27" s="39"/>
      <c r="T27" s="39">
        <v>7.7005948325076901</v>
      </c>
      <c r="U27" s="39">
        <v>4.437592170532243</v>
      </c>
      <c r="V27" s="39">
        <v>1.6910314289488904</v>
      </c>
      <c r="W27" s="39">
        <v>5.7642816228731864</v>
      </c>
      <c r="X27" s="39"/>
      <c r="Y27" s="39">
        <v>0.5750463807900571</v>
      </c>
      <c r="Z27" s="39"/>
      <c r="AA27" s="39">
        <v>0.2</v>
      </c>
      <c r="AB27" s="39"/>
      <c r="AC27" s="39">
        <v>0.3</v>
      </c>
    </row>
    <row r="28" spans="1:29" ht="18" customHeight="1" x14ac:dyDescent="0.2">
      <c r="A28" s="96" t="str">
        <f>VLOOKUP("&lt;T3Zeilentitel_17&gt;",Uebersetzungen!$B$3:$E$133,Uebersetzungen!$B$2+1,FALSE)</f>
        <v>Total</v>
      </c>
      <c r="B28" s="75">
        <v>100</v>
      </c>
      <c r="C28" s="76">
        <v>100</v>
      </c>
      <c r="D28" s="76">
        <v>100</v>
      </c>
      <c r="E28" s="76">
        <v>100</v>
      </c>
      <c r="F28" s="76">
        <v>100</v>
      </c>
      <c r="G28" s="76">
        <v>100</v>
      </c>
      <c r="H28" s="76">
        <v>100</v>
      </c>
      <c r="I28" s="77">
        <v>100</v>
      </c>
      <c r="J28" s="76">
        <v>100</v>
      </c>
      <c r="K28" s="76">
        <v>100</v>
      </c>
      <c r="L28" s="76">
        <v>100</v>
      </c>
      <c r="M28" s="76">
        <v>100</v>
      </c>
      <c r="N28" s="77">
        <v>100</v>
      </c>
      <c r="O28" s="76">
        <v>100</v>
      </c>
      <c r="P28" s="76">
        <v>100</v>
      </c>
      <c r="Q28" s="76">
        <v>100.00000000000001</v>
      </c>
      <c r="R28" s="76">
        <v>100</v>
      </c>
      <c r="S28" s="76">
        <v>100</v>
      </c>
      <c r="T28" s="76">
        <v>100.00000000000001</v>
      </c>
      <c r="U28" s="76">
        <v>100</v>
      </c>
      <c r="V28" s="76">
        <v>99.999999999999972</v>
      </c>
      <c r="W28" s="76">
        <v>100</v>
      </c>
      <c r="X28" s="76">
        <v>100</v>
      </c>
      <c r="Y28" s="76">
        <v>99.999999999999972</v>
      </c>
      <c r="Z28" s="78">
        <v>100</v>
      </c>
      <c r="AA28" s="79">
        <f>SUM(AA12:AA27)</f>
        <v>100.00000000000001</v>
      </c>
      <c r="AB28" s="79">
        <f>SUM(AB12:AB27)</f>
        <v>99.8</v>
      </c>
      <c r="AC28" s="79">
        <f>SUM(AC12:AC27)</f>
        <v>100</v>
      </c>
    </row>
    <row r="29" spans="1:29" x14ac:dyDescent="0.2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ht="33" customHeight="1" x14ac:dyDescent="0.2">
      <c r="A30" s="97" t="str">
        <f>VLOOKUP("&lt;T3Zeilentitel_18&gt;",Uebersetzungen!$B$3:$E$133,Uebersetzungen!$B$2+1,FALSE)</f>
        <v>Wahlbeteiligung</v>
      </c>
      <c r="B30" s="80">
        <v>85.131314507613183</v>
      </c>
      <c r="C30" s="81">
        <v>77.810894141829394</v>
      </c>
      <c r="D30" s="81">
        <v>77.38181069111134</v>
      </c>
      <c r="E30" s="81">
        <v>79.155149426034924</v>
      </c>
      <c r="F30" s="81">
        <v>79.377872929916251</v>
      </c>
      <c r="G30" s="81">
        <v>78.767879986044889</v>
      </c>
      <c r="H30" s="81">
        <v>75.717073431527169</v>
      </c>
      <c r="I30" s="81">
        <v>73.878805857447205</v>
      </c>
      <c r="J30" s="81">
        <v>75.273886373985476</v>
      </c>
      <c r="K30" s="81">
        <v>73.268757358450173</v>
      </c>
      <c r="L30" s="80">
        <v>76.606807826320022</v>
      </c>
      <c r="M30" s="81">
        <v>73.469064824094104</v>
      </c>
      <c r="N30" s="80">
        <v>71.027917149105875</v>
      </c>
      <c r="O30" s="80">
        <v>66.694337964206369</v>
      </c>
      <c r="P30" s="80">
        <v>56.710669842612589</v>
      </c>
      <c r="Q30" s="80">
        <v>49.628363857467839</v>
      </c>
      <c r="R30" s="80">
        <v>45.853900779659334</v>
      </c>
      <c r="S30" s="80">
        <v>39.853913563966593</v>
      </c>
      <c r="T30" s="80">
        <v>39.49174964692422</v>
      </c>
      <c r="U30" s="80">
        <v>37.924689383076249</v>
      </c>
      <c r="V30" s="80">
        <v>36.678549969957942</v>
      </c>
      <c r="W30" s="80">
        <v>40.613279349685357</v>
      </c>
      <c r="X30" s="80">
        <v>39.116364364857994</v>
      </c>
      <c r="Y30" s="80">
        <v>41.854009077155823</v>
      </c>
      <c r="Z30" s="82">
        <v>45.112142133031426</v>
      </c>
      <c r="AA30" s="83">
        <v>46</v>
      </c>
      <c r="AB30" s="83">
        <v>42.9</v>
      </c>
      <c r="AC30" s="83">
        <v>43</v>
      </c>
    </row>
    <row r="33" spans="1:29" s="21" customFormat="1" ht="18" x14ac:dyDescent="0.2">
      <c r="A33" s="51" t="str">
        <f>VLOOKUP("&lt;T3Titel2&gt;",Uebersetzungen!$B$3:$E$133,Uebersetzungen!$B$2+1,FALSE)</f>
        <v>Nationalratswahlen Graubünden: Mandate seit 1919</v>
      </c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9" x14ac:dyDescent="0.2">
      <c r="A34" s="22"/>
      <c r="L34" s="23"/>
      <c r="M34" s="23"/>
      <c r="N34" s="23"/>
      <c r="O34" s="23"/>
      <c r="P34" s="23"/>
      <c r="Z34" s="23"/>
      <c r="AA34" s="23"/>
    </row>
    <row r="35" spans="1:29" s="21" customFormat="1" ht="18" customHeight="1" x14ac:dyDescent="0.2">
      <c r="A35" s="95" t="str">
        <f>VLOOKUP("&lt;SpaltenTitel_1&gt;",Uebersetzungen!$B$3:$E$31,Uebersetzungen!$B$2+1,FALSE)</f>
        <v>Partei</v>
      </c>
      <c r="B35" s="92">
        <v>1919</v>
      </c>
      <c r="C35" s="92">
        <v>1922</v>
      </c>
      <c r="D35" s="92">
        <v>1925</v>
      </c>
      <c r="E35" s="92">
        <v>1928</v>
      </c>
      <c r="F35" s="92">
        <v>1931</v>
      </c>
      <c r="G35" s="92">
        <v>1935</v>
      </c>
      <c r="H35" s="92">
        <v>1939</v>
      </c>
      <c r="I35" s="92">
        <v>1943</v>
      </c>
      <c r="J35" s="92">
        <v>1947</v>
      </c>
      <c r="K35" s="92">
        <v>1951</v>
      </c>
      <c r="L35" s="92">
        <v>1955</v>
      </c>
      <c r="M35" s="92">
        <v>1959</v>
      </c>
      <c r="N35" s="92">
        <v>1963</v>
      </c>
      <c r="O35" s="92">
        <v>1967</v>
      </c>
      <c r="P35" s="92">
        <v>1971</v>
      </c>
      <c r="Q35" s="92">
        <v>1975</v>
      </c>
      <c r="R35" s="92">
        <v>1979</v>
      </c>
      <c r="S35" s="92">
        <v>1983</v>
      </c>
      <c r="T35" s="92">
        <v>1987</v>
      </c>
      <c r="U35" s="92">
        <v>1991</v>
      </c>
      <c r="V35" s="92">
        <v>1995</v>
      </c>
      <c r="W35" s="92">
        <v>1999</v>
      </c>
      <c r="X35" s="92">
        <v>2003</v>
      </c>
      <c r="Y35" s="92">
        <v>2007</v>
      </c>
      <c r="Z35" s="92">
        <v>2011</v>
      </c>
      <c r="AA35" s="92">
        <v>2015</v>
      </c>
      <c r="AB35" s="92">
        <v>2019</v>
      </c>
      <c r="AC35" s="92">
        <v>2023</v>
      </c>
    </row>
    <row r="36" spans="1:29" x14ac:dyDescent="0.2">
      <c r="A36" s="93" t="str">
        <f>VLOOKUP("&lt;T3Zeilentitel_1&gt;",Uebersetzungen!$B$3:$E$133,Uebersetzungen!$B$2+1,FALSE)</f>
        <v>FDP</v>
      </c>
      <c r="B36" s="40">
        <v>3</v>
      </c>
      <c r="C36" s="40">
        <v>3</v>
      </c>
      <c r="D36" s="40">
        <v>2</v>
      </c>
      <c r="E36" s="40">
        <v>2</v>
      </c>
      <c r="F36" s="40">
        <v>2</v>
      </c>
      <c r="G36" s="40">
        <v>1</v>
      </c>
      <c r="H36" s="40">
        <v>1</v>
      </c>
      <c r="I36" s="40">
        <v>1</v>
      </c>
      <c r="J36" s="40">
        <v>1</v>
      </c>
      <c r="K36" s="40">
        <v>1</v>
      </c>
      <c r="L36" s="40">
        <v>1</v>
      </c>
      <c r="M36" s="40">
        <v>1</v>
      </c>
      <c r="N36" s="40">
        <v>1</v>
      </c>
      <c r="O36" s="40">
        <v>1</v>
      </c>
      <c r="P36" s="40">
        <v>1</v>
      </c>
      <c r="Q36" s="40">
        <v>1</v>
      </c>
      <c r="R36" s="40">
        <v>1</v>
      </c>
      <c r="S36" s="40">
        <v>1</v>
      </c>
      <c r="T36" s="40">
        <v>1</v>
      </c>
      <c r="U36" s="40">
        <v>1</v>
      </c>
      <c r="V36" s="40">
        <v>1</v>
      </c>
      <c r="W36" s="40">
        <v>1</v>
      </c>
      <c r="X36" s="40">
        <v>1</v>
      </c>
      <c r="Y36" s="40">
        <v>1</v>
      </c>
      <c r="Z36" s="40"/>
      <c r="AA36" s="40"/>
      <c r="AB36" s="40">
        <v>1</v>
      </c>
      <c r="AC36" s="40">
        <v>1</v>
      </c>
    </row>
    <row r="37" spans="1:29" x14ac:dyDescent="0.2">
      <c r="A37" s="93" t="str">
        <f>VLOOKUP("&lt;T3Zeilentitel_2&gt;",Uebersetzungen!$B$3:$E$133,Uebersetzungen!$B$2+1,FALSE)</f>
        <v>Die Mitte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>
        <v>1</v>
      </c>
    </row>
    <row r="38" spans="1:29" x14ac:dyDescent="0.2">
      <c r="A38" s="93" t="str">
        <f>VLOOKUP("&lt;T3Zeilentitel_3&gt;",Uebersetzungen!$B$3:$E$133,Uebersetzungen!$B$2+1,FALSE)</f>
        <v>CVP</v>
      </c>
      <c r="B38" s="40">
        <v>2</v>
      </c>
      <c r="C38" s="40">
        <v>2</v>
      </c>
      <c r="D38" s="40">
        <v>3</v>
      </c>
      <c r="E38" s="40">
        <v>2</v>
      </c>
      <c r="F38" s="40">
        <v>2</v>
      </c>
      <c r="G38" s="40">
        <v>3</v>
      </c>
      <c r="H38" s="40">
        <v>2</v>
      </c>
      <c r="I38" s="40">
        <v>2</v>
      </c>
      <c r="J38" s="40">
        <v>3</v>
      </c>
      <c r="K38" s="40">
        <v>3</v>
      </c>
      <c r="L38" s="40">
        <v>3</v>
      </c>
      <c r="M38" s="40">
        <v>2</v>
      </c>
      <c r="N38" s="40">
        <v>2</v>
      </c>
      <c r="O38" s="40">
        <v>2</v>
      </c>
      <c r="P38" s="40">
        <v>2</v>
      </c>
      <c r="Q38" s="40">
        <v>2</v>
      </c>
      <c r="R38" s="40">
        <v>2</v>
      </c>
      <c r="S38" s="40">
        <v>2</v>
      </c>
      <c r="T38" s="40">
        <v>2</v>
      </c>
      <c r="U38" s="40">
        <v>1</v>
      </c>
      <c r="V38" s="40">
        <v>1</v>
      </c>
      <c r="W38" s="40">
        <v>1</v>
      </c>
      <c r="X38" s="40">
        <v>1</v>
      </c>
      <c r="Y38" s="40">
        <v>1</v>
      </c>
      <c r="Z38" s="40">
        <v>1</v>
      </c>
      <c r="AA38" s="40">
        <v>1</v>
      </c>
      <c r="AB38" s="40">
        <v>1</v>
      </c>
      <c r="AC38" s="40"/>
    </row>
    <row r="39" spans="1:29" x14ac:dyDescent="0.2">
      <c r="A39" s="93" t="str">
        <f>VLOOKUP("&lt;T3Zeilentitel_4&gt;",Uebersetzungen!$B$3:$E$133,Uebersetzungen!$B$2+1,FALSE)</f>
        <v>SP</v>
      </c>
      <c r="B39" s="40">
        <v>1</v>
      </c>
      <c r="C39" s="40">
        <v>1</v>
      </c>
      <c r="D39" s="40"/>
      <c r="E39" s="40">
        <v>1</v>
      </c>
      <c r="F39" s="40">
        <v>1</v>
      </c>
      <c r="G39" s="40"/>
      <c r="H39" s="40"/>
      <c r="I39" s="40"/>
      <c r="J39" s="40"/>
      <c r="K39" s="40"/>
      <c r="L39" s="40"/>
      <c r="M39" s="40">
        <v>1</v>
      </c>
      <c r="N39" s="40"/>
      <c r="O39" s="40"/>
      <c r="P39" s="40"/>
      <c r="Q39" s="40">
        <v>1</v>
      </c>
      <c r="R39" s="40">
        <v>1</v>
      </c>
      <c r="S39" s="40">
        <v>1</v>
      </c>
      <c r="T39" s="40">
        <v>1</v>
      </c>
      <c r="U39" s="40">
        <v>2</v>
      </c>
      <c r="V39" s="40">
        <v>2</v>
      </c>
      <c r="W39" s="40">
        <v>1</v>
      </c>
      <c r="X39" s="40">
        <v>1</v>
      </c>
      <c r="Y39" s="40">
        <v>1</v>
      </c>
      <c r="Z39" s="40">
        <v>1</v>
      </c>
      <c r="AA39" s="40">
        <v>1</v>
      </c>
      <c r="AB39" s="40">
        <v>2</v>
      </c>
      <c r="AC39" s="40">
        <v>1</v>
      </c>
    </row>
    <row r="40" spans="1:29" x14ac:dyDescent="0.2">
      <c r="A40" s="93" t="str">
        <f>VLOOKUP("&lt;T3Zeilentitel_5&gt;",Uebersetzungen!$B$3:$E$133,Uebersetzungen!$B$2+1,FALSE)</f>
        <v>SVP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>
        <v>2</v>
      </c>
      <c r="Q40" s="40">
        <v>1</v>
      </c>
      <c r="R40" s="40">
        <v>1</v>
      </c>
      <c r="S40" s="40">
        <v>1</v>
      </c>
      <c r="T40" s="40">
        <v>1</v>
      </c>
      <c r="U40" s="40">
        <v>1</v>
      </c>
      <c r="V40" s="40">
        <v>1</v>
      </c>
      <c r="W40" s="40">
        <v>2</v>
      </c>
      <c r="X40" s="40">
        <v>2</v>
      </c>
      <c r="Y40" s="40">
        <v>2</v>
      </c>
      <c r="Z40" s="40">
        <v>1</v>
      </c>
      <c r="AA40" s="40">
        <v>2</v>
      </c>
      <c r="AB40" s="40">
        <v>1</v>
      </c>
      <c r="AC40" s="40">
        <v>2</v>
      </c>
    </row>
    <row r="41" spans="1:29" x14ac:dyDescent="0.2">
      <c r="A41" s="93" t="str">
        <f>VLOOKUP("&lt;T3Zeilentitel_9&gt;",Uebersetzungen!$B$3:$E$133,Uebersetzungen!$B$2+1,FALSE)</f>
        <v>GLP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>
        <v>1</v>
      </c>
      <c r="AA41" s="40"/>
      <c r="AB41" s="40"/>
      <c r="AC41" s="40"/>
    </row>
    <row r="42" spans="1:29" x14ac:dyDescent="0.2">
      <c r="A42" s="93" t="str">
        <f>VLOOKUP("&lt;T3Zeilentitel_10&gt;",Uebersetzungen!$B$3:$E$133,Uebersetzungen!$B$2+1,FALSE)</f>
        <v>BDP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>
        <v>1</v>
      </c>
      <c r="AA42" s="40">
        <v>1</v>
      </c>
      <c r="AB42" s="40"/>
      <c r="AC42" s="40"/>
    </row>
    <row r="43" spans="1:29" x14ac:dyDescent="0.2">
      <c r="A43" s="93" t="str">
        <f>VLOOKUP("&lt;T3Zeilentitel_15&gt;",Uebersetzungen!$B$3:$E$133,Uebersetzungen!$B$2+1,FALSE)</f>
        <v>Dem.</v>
      </c>
      <c r="B43" s="41"/>
      <c r="C43" s="41"/>
      <c r="D43" s="41">
        <v>1</v>
      </c>
      <c r="E43" s="41">
        <v>1</v>
      </c>
      <c r="F43" s="41">
        <v>1</v>
      </c>
      <c r="G43" s="41">
        <v>2</v>
      </c>
      <c r="H43" s="41">
        <v>3</v>
      </c>
      <c r="I43" s="41">
        <v>3</v>
      </c>
      <c r="J43" s="41">
        <v>2</v>
      </c>
      <c r="K43" s="41">
        <v>2</v>
      </c>
      <c r="L43" s="41">
        <v>2</v>
      </c>
      <c r="M43" s="41">
        <v>2</v>
      </c>
      <c r="N43" s="41">
        <v>2</v>
      </c>
      <c r="O43" s="41">
        <v>2</v>
      </c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spans="1:29" ht="18.75" customHeight="1" x14ac:dyDescent="0.2">
      <c r="A44" s="96" t="str">
        <f>VLOOKUP("&lt;T3Zeilentitel_17&gt;",Uebersetzungen!$B$3:$E$133,Uebersetzungen!$B$2+1,FALSE)</f>
        <v>Total</v>
      </c>
      <c r="B44" s="84">
        <v>6</v>
      </c>
      <c r="C44" s="84">
        <v>6</v>
      </c>
      <c r="D44" s="84">
        <v>6</v>
      </c>
      <c r="E44" s="84">
        <v>6</v>
      </c>
      <c r="F44" s="84">
        <v>6</v>
      </c>
      <c r="G44" s="84">
        <v>6</v>
      </c>
      <c r="H44" s="84">
        <v>6</v>
      </c>
      <c r="I44" s="84">
        <v>6</v>
      </c>
      <c r="J44" s="84">
        <v>6</v>
      </c>
      <c r="K44" s="84">
        <v>6</v>
      </c>
      <c r="L44" s="84">
        <v>6</v>
      </c>
      <c r="M44" s="84">
        <v>6</v>
      </c>
      <c r="N44" s="84">
        <v>5</v>
      </c>
      <c r="O44" s="84">
        <v>5</v>
      </c>
      <c r="P44" s="84">
        <v>5</v>
      </c>
      <c r="Q44" s="84">
        <v>5</v>
      </c>
      <c r="R44" s="84">
        <v>5</v>
      </c>
      <c r="S44" s="84">
        <v>5</v>
      </c>
      <c r="T44" s="84">
        <v>5</v>
      </c>
      <c r="U44" s="84">
        <v>5</v>
      </c>
      <c r="V44" s="84">
        <v>5</v>
      </c>
      <c r="W44" s="84">
        <v>5</v>
      </c>
      <c r="X44" s="84">
        <v>5</v>
      </c>
      <c r="Y44" s="84">
        <v>5</v>
      </c>
      <c r="Z44" s="84">
        <v>5</v>
      </c>
      <c r="AA44" s="84">
        <v>5</v>
      </c>
      <c r="AB44" s="84">
        <v>5</v>
      </c>
      <c r="AC44" s="84">
        <v>5</v>
      </c>
    </row>
    <row r="46" spans="1:29" x14ac:dyDescent="0.2">
      <c r="A46" s="67" t="str">
        <f>VLOOKUP("&lt;Quelle_1&gt;",Uebersetzungen!$B$3:$E$52,Uebersetzungen!$B$2+1,FALSE)</f>
        <v>Quelle: BFS (Statistik der Nationalratswahlen)</v>
      </c>
    </row>
    <row r="47" spans="1:29" x14ac:dyDescent="0.2">
      <c r="A47" s="68" t="str">
        <f>VLOOKUP("&lt;Aktualisierung&gt;",Uebersetzungen!$B$3:$E$52,Uebersetzungen!$B$2+1,FALSE)</f>
        <v>Letztmals aktualisiert am: 21.03.2024</v>
      </c>
    </row>
  </sheetData>
  <sheetProtection sheet="1" objects="1" scenarios="1"/>
  <mergeCells count="1">
    <mergeCell ref="A7:D7"/>
  </mergeCells>
  <phoneticPr fontId="0" type="noConversion"/>
  <pageMargins left="0.56999999999999995" right="0.78740157499999996" top="0.39" bottom="0.3" header="0.24" footer="0.16"/>
  <pageSetup paperSize="9" orientation="landscape" r:id="rId1"/>
  <headerFooter alignWithMargins="0"/>
  <ignoredErrors>
    <ignoredError sqref="AA28:AB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12</xdr:col>
                    <xdr:colOff>28575</xdr:colOff>
                    <xdr:row>1</xdr:row>
                    <xdr:rowOff>114300</xdr:rowOff>
                  </from>
                  <to>
                    <xdr:col>14</xdr:col>
                    <xdr:colOff>257175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12</xdr:col>
                    <xdr:colOff>28575</xdr:colOff>
                    <xdr:row>2</xdr:row>
                    <xdr:rowOff>104775</xdr:rowOff>
                  </from>
                  <to>
                    <xdr:col>15</xdr:col>
                    <xdr:colOff>200025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12</xdr:col>
                    <xdr:colOff>28575</xdr:colOff>
                    <xdr:row>3</xdr:row>
                    <xdr:rowOff>66675</xdr:rowOff>
                  </from>
                  <to>
                    <xdr:col>14</xdr:col>
                    <xdr:colOff>257175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3"/>
  <sheetViews>
    <sheetView showGridLines="0" zoomScaleNormal="100" workbookViewId="0"/>
  </sheetViews>
  <sheetFormatPr baseColWidth="10" defaultRowHeight="9.9499999999999993" customHeight="1" x14ac:dyDescent="0.2"/>
  <cols>
    <col min="1" max="1" width="14.83203125" style="22" customWidth="1"/>
    <col min="2" max="2" width="7.83203125" style="3" customWidth="1"/>
    <col min="3" max="3" width="5.6640625" style="3" customWidth="1"/>
    <col min="4" max="4" width="8" style="3" bestFit="1" customWidth="1"/>
    <col min="5" max="6" width="5.6640625" style="3" customWidth="1"/>
    <col min="7" max="7" width="8" style="3" bestFit="1" customWidth="1"/>
    <col min="8" max="9" width="5.6640625" style="3" customWidth="1"/>
    <col min="10" max="10" width="8" style="3" bestFit="1" customWidth="1"/>
    <col min="11" max="12" width="5.6640625" style="3" customWidth="1"/>
    <col min="13" max="13" width="8" style="3" bestFit="1" customWidth="1"/>
    <col min="14" max="15" width="5.6640625" style="3" customWidth="1"/>
    <col min="16" max="16" width="8" style="3" bestFit="1" customWidth="1"/>
    <col min="17" max="18" width="5.6640625" style="3" customWidth="1"/>
    <col min="19" max="19" width="8" style="3" bestFit="1" customWidth="1"/>
    <col min="20" max="21" width="5.6640625" style="3" customWidth="1"/>
    <col min="22" max="22" width="8" style="3" bestFit="1" customWidth="1"/>
    <col min="23" max="24" width="5.6640625" style="3" customWidth="1"/>
    <col min="25" max="25" width="8" style="3" bestFit="1" customWidth="1"/>
    <col min="26" max="27" width="5.6640625" style="3" customWidth="1"/>
    <col min="28" max="28" width="8" style="3" bestFit="1" customWidth="1"/>
    <col min="29" max="30" width="5.6640625" style="3" customWidth="1"/>
    <col min="31" max="31" width="8" style="3" bestFit="1" customWidth="1"/>
    <col min="32" max="33" width="5.6640625" style="3" customWidth="1"/>
    <col min="34" max="34" width="8" style="3" bestFit="1" customWidth="1"/>
    <col min="35" max="36" width="6" style="3" customWidth="1"/>
    <col min="37" max="37" width="10.1640625" style="3" customWidth="1"/>
    <col min="38" max="38" width="6.6640625" style="3" customWidth="1"/>
    <col min="39" max="39" width="6.33203125" style="3" customWidth="1"/>
    <col min="40" max="40" width="8.83203125" style="3" customWidth="1"/>
    <col min="41" max="41" width="6.6640625" style="3" customWidth="1"/>
    <col min="42" max="42" width="6.33203125" style="3" customWidth="1"/>
    <col min="43" max="43" width="8.83203125" style="3" customWidth="1"/>
    <col min="44" max="16384" width="12" style="3"/>
  </cols>
  <sheetData>
    <row r="1" spans="1:43" s="65" customFormat="1" ht="12.75" x14ac:dyDescent="0.2"/>
    <row r="2" spans="1:43" s="65" customFormat="1" ht="15.75" x14ac:dyDescent="0.25">
      <c r="B2" s="47"/>
      <c r="C2" s="66"/>
      <c r="D2" s="66"/>
    </row>
    <row r="3" spans="1:43" s="65" customFormat="1" ht="15.75" x14ac:dyDescent="0.25">
      <c r="B3" s="47"/>
      <c r="C3" s="66"/>
      <c r="D3" s="66"/>
    </row>
    <row r="4" spans="1:43" s="65" customFormat="1" ht="15.75" x14ac:dyDescent="0.25">
      <c r="B4" s="47"/>
      <c r="C4" s="66"/>
      <c r="D4" s="66"/>
    </row>
    <row r="5" spans="1:43" s="65" customFormat="1" ht="12.75" x14ac:dyDescent="0.2"/>
    <row r="6" spans="1:43" s="46" customFormat="1" ht="12.75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43" s="48" customFormat="1" ht="15.75" customHeight="1" x14ac:dyDescent="0.25">
      <c r="A7" s="104" t="str">
        <f>VLOOKUP("&lt;Fachbereich&gt;",Uebersetzungen!$B$3:$E$31,Uebersetzungen!$B$2+1,FALSE)</f>
        <v>Daten &amp; Statistik</v>
      </c>
      <c r="B7" s="104"/>
      <c r="C7" s="104"/>
      <c r="D7" s="104"/>
      <c r="E7" s="49"/>
      <c r="F7" s="49"/>
      <c r="G7" s="49"/>
      <c r="H7" s="49"/>
      <c r="I7" s="49"/>
    </row>
    <row r="8" spans="1:43" ht="15" x14ac:dyDescent="0.25">
      <c r="A8" s="18"/>
      <c r="B8" s="10"/>
      <c r="C8" s="10"/>
      <c r="D8" s="10"/>
      <c r="E8" s="10"/>
    </row>
    <row r="9" spans="1:43" s="21" customFormat="1" ht="14.1" customHeight="1" x14ac:dyDescent="0.2">
      <c r="A9" s="51" t="str">
        <f>VLOOKUP("&lt;T4Titel&gt;",Uebersetzungen!$B$3:$E$133,Uebersetzungen!$B$2+1,FALSE)</f>
        <v>Nationalratswahlen Graubünden: Mandate nach Geschlecht, seit 1971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43" ht="14.25" x14ac:dyDescent="0.2">
      <c r="AF10" s="23"/>
    </row>
    <row r="11" spans="1:43" s="21" customFormat="1" ht="18" customHeight="1" x14ac:dyDescent="0.2">
      <c r="A11" s="90"/>
      <c r="B11" s="107">
        <v>1971</v>
      </c>
      <c r="C11" s="105"/>
      <c r="D11" s="106"/>
      <c r="E11" s="107">
        <v>1975</v>
      </c>
      <c r="F11" s="105"/>
      <c r="G11" s="106"/>
      <c r="H11" s="107">
        <v>1979</v>
      </c>
      <c r="I11" s="105"/>
      <c r="J11" s="106"/>
      <c r="K11" s="107">
        <v>1983</v>
      </c>
      <c r="L11" s="105"/>
      <c r="M11" s="106"/>
      <c r="N11" s="107">
        <v>1987</v>
      </c>
      <c r="O11" s="105"/>
      <c r="P11" s="106"/>
      <c r="Q11" s="107">
        <v>1991</v>
      </c>
      <c r="R11" s="105"/>
      <c r="S11" s="106"/>
      <c r="T11" s="107">
        <v>1995</v>
      </c>
      <c r="U11" s="105"/>
      <c r="V11" s="106"/>
      <c r="W11" s="107">
        <v>1999</v>
      </c>
      <c r="X11" s="105"/>
      <c r="Y11" s="106"/>
      <c r="Z11" s="107">
        <v>2003</v>
      </c>
      <c r="AA11" s="105"/>
      <c r="AB11" s="106"/>
      <c r="AC11" s="107">
        <v>2007</v>
      </c>
      <c r="AD11" s="105"/>
      <c r="AE11" s="106"/>
      <c r="AF11" s="105">
        <v>2011</v>
      </c>
      <c r="AG11" s="105"/>
      <c r="AH11" s="106"/>
      <c r="AI11" s="105">
        <v>2015</v>
      </c>
      <c r="AJ11" s="105"/>
      <c r="AK11" s="106"/>
      <c r="AL11" s="105">
        <v>2019</v>
      </c>
      <c r="AM11" s="105"/>
      <c r="AN11" s="106"/>
      <c r="AO11" s="105">
        <v>2023</v>
      </c>
      <c r="AP11" s="105"/>
      <c r="AQ11" s="106"/>
    </row>
    <row r="12" spans="1:43" s="21" customFormat="1" ht="18" customHeight="1" x14ac:dyDescent="0.2">
      <c r="A12" s="91" t="str">
        <f>VLOOKUP("&lt;SpaltenTitel_1&gt;",Uebersetzungen!$B$3:$E$31,Uebersetzungen!$B$2+1,FALSE)</f>
        <v>Partei</v>
      </c>
      <c r="B12" s="92" t="str">
        <f>VLOOKUP("&lt;T2SpaltenTitel_1&gt;",Uebersetzungen!$B$3:$E$133,Uebersetzungen!$B$2+1,FALSE)</f>
        <v>F</v>
      </c>
      <c r="C12" s="92" t="str">
        <f>VLOOKUP("&lt;T2SpaltenTitel_2&gt;",Uebersetzungen!$B$3:$E$133,Uebersetzungen!$B$2+1,FALSE)</f>
        <v>M</v>
      </c>
      <c r="D12" s="92" t="str">
        <f>VLOOKUP("&lt;T2SpaltenTitel_3&gt;",Uebersetzungen!$B$3:$E$133,Uebersetzungen!$B$2+1,FALSE)</f>
        <v>F in %</v>
      </c>
      <c r="E12" s="92" t="str">
        <f>VLOOKUP("&lt;T2SpaltenTitel_1&gt;",Uebersetzungen!$B$3:$E$133,Uebersetzungen!$B$2+1,FALSE)</f>
        <v>F</v>
      </c>
      <c r="F12" s="92" t="str">
        <f>VLOOKUP("&lt;T2SpaltenTitel_2&gt;",Uebersetzungen!$B$3:$E$133,Uebersetzungen!$B$2+1,FALSE)</f>
        <v>M</v>
      </c>
      <c r="G12" s="92" t="str">
        <f>VLOOKUP("&lt;T2SpaltenTitel_3&gt;",Uebersetzungen!$B$3:$E$133,Uebersetzungen!$B$2+1,FALSE)</f>
        <v>F in %</v>
      </c>
      <c r="H12" s="92" t="str">
        <f>VLOOKUP("&lt;T2SpaltenTitel_1&gt;",Uebersetzungen!$B$3:$E$133,Uebersetzungen!$B$2+1,FALSE)</f>
        <v>F</v>
      </c>
      <c r="I12" s="92" t="str">
        <f>VLOOKUP("&lt;T2SpaltenTitel_2&gt;",Uebersetzungen!$B$3:$E$133,Uebersetzungen!$B$2+1,FALSE)</f>
        <v>M</v>
      </c>
      <c r="J12" s="92" t="str">
        <f>VLOOKUP("&lt;T2SpaltenTitel_3&gt;",Uebersetzungen!$B$3:$E$133,Uebersetzungen!$B$2+1,FALSE)</f>
        <v>F in %</v>
      </c>
      <c r="K12" s="92" t="str">
        <f>VLOOKUP("&lt;T2SpaltenTitel_1&gt;",Uebersetzungen!$B$3:$E$133,Uebersetzungen!$B$2+1,FALSE)</f>
        <v>F</v>
      </c>
      <c r="L12" s="92" t="str">
        <f>VLOOKUP("&lt;T2SpaltenTitel_2&gt;",Uebersetzungen!$B$3:$E$133,Uebersetzungen!$B$2+1,FALSE)</f>
        <v>M</v>
      </c>
      <c r="M12" s="92" t="str">
        <f>VLOOKUP("&lt;T2SpaltenTitel_3&gt;",Uebersetzungen!$B$3:$E$133,Uebersetzungen!$B$2+1,FALSE)</f>
        <v>F in %</v>
      </c>
      <c r="N12" s="92" t="str">
        <f>VLOOKUP("&lt;T2SpaltenTitel_1&gt;",Uebersetzungen!$B$3:$E$133,Uebersetzungen!$B$2+1,FALSE)</f>
        <v>F</v>
      </c>
      <c r="O12" s="92" t="str">
        <f>VLOOKUP("&lt;T2SpaltenTitel_2&gt;",Uebersetzungen!$B$3:$E$133,Uebersetzungen!$B$2+1,FALSE)</f>
        <v>M</v>
      </c>
      <c r="P12" s="92" t="str">
        <f>VLOOKUP("&lt;T2SpaltenTitel_3&gt;",Uebersetzungen!$B$3:$E$133,Uebersetzungen!$B$2+1,FALSE)</f>
        <v>F in %</v>
      </c>
      <c r="Q12" s="92" t="str">
        <f>VLOOKUP("&lt;T2SpaltenTitel_1&gt;",Uebersetzungen!$B$3:$E$133,Uebersetzungen!$B$2+1,FALSE)</f>
        <v>F</v>
      </c>
      <c r="R12" s="92" t="str">
        <f>VLOOKUP("&lt;T2SpaltenTitel_2&gt;",Uebersetzungen!$B$3:$E$133,Uebersetzungen!$B$2+1,FALSE)</f>
        <v>M</v>
      </c>
      <c r="S12" s="92" t="str">
        <f>VLOOKUP("&lt;T2SpaltenTitel_3&gt;",Uebersetzungen!$B$3:$E$133,Uebersetzungen!$B$2+1,FALSE)</f>
        <v>F in %</v>
      </c>
      <c r="T12" s="92" t="str">
        <f>VLOOKUP("&lt;T2SpaltenTitel_1&gt;",Uebersetzungen!$B$3:$E$133,Uebersetzungen!$B$2+1,FALSE)</f>
        <v>F</v>
      </c>
      <c r="U12" s="92" t="str">
        <f>VLOOKUP("&lt;T2SpaltenTitel_2&gt;",Uebersetzungen!$B$3:$E$133,Uebersetzungen!$B$2+1,FALSE)</f>
        <v>M</v>
      </c>
      <c r="V12" s="92" t="str">
        <f>VLOOKUP("&lt;T2SpaltenTitel_3&gt;",Uebersetzungen!$B$3:$E$133,Uebersetzungen!$B$2+1,FALSE)</f>
        <v>F in %</v>
      </c>
      <c r="W12" s="92" t="str">
        <f>VLOOKUP("&lt;T2SpaltenTitel_1&gt;",Uebersetzungen!$B$3:$E$133,Uebersetzungen!$B$2+1,FALSE)</f>
        <v>F</v>
      </c>
      <c r="X12" s="92" t="str">
        <f>VLOOKUP("&lt;T2SpaltenTitel_2&gt;",Uebersetzungen!$B$3:$E$133,Uebersetzungen!$B$2+1,FALSE)</f>
        <v>M</v>
      </c>
      <c r="Y12" s="92" t="str">
        <f>VLOOKUP("&lt;T2SpaltenTitel_3&gt;",Uebersetzungen!$B$3:$E$133,Uebersetzungen!$B$2+1,FALSE)</f>
        <v>F in %</v>
      </c>
      <c r="Z12" s="92" t="str">
        <f>VLOOKUP("&lt;T2SpaltenTitel_1&gt;",Uebersetzungen!$B$3:$E$133,Uebersetzungen!$B$2+1,FALSE)</f>
        <v>F</v>
      </c>
      <c r="AA12" s="92" t="str">
        <f>VLOOKUP("&lt;T2SpaltenTitel_2&gt;",Uebersetzungen!$B$3:$E$133,Uebersetzungen!$B$2+1,FALSE)</f>
        <v>M</v>
      </c>
      <c r="AB12" s="92" t="str">
        <f>VLOOKUP("&lt;T2SpaltenTitel_3&gt;",Uebersetzungen!$B$3:$E$133,Uebersetzungen!$B$2+1,FALSE)</f>
        <v>F in %</v>
      </c>
      <c r="AC12" s="92" t="str">
        <f>VLOOKUP("&lt;T2SpaltenTitel_1&gt;",Uebersetzungen!$B$3:$E$133,Uebersetzungen!$B$2+1,FALSE)</f>
        <v>F</v>
      </c>
      <c r="AD12" s="92" t="str">
        <f>VLOOKUP("&lt;T2SpaltenTitel_2&gt;",Uebersetzungen!$B$3:$E$133,Uebersetzungen!$B$2+1,FALSE)</f>
        <v>M</v>
      </c>
      <c r="AE12" s="92" t="str">
        <f>VLOOKUP("&lt;T2SpaltenTitel_3&gt;",Uebersetzungen!$B$3:$E$133,Uebersetzungen!$B$2+1,FALSE)</f>
        <v>F in %</v>
      </c>
      <c r="AF12" s="92" t="str">
        <f>VLOOKUP("&lt;T2SpaltenTitel_1&gt;",Uebersetzungen!$B$3:$E$133,Uebersetzungen!$B$2+1,FALSE)</f>
        <v>F</v>
      </c>
      <c r="AG12" s="92" t="str">
        <f>VLOOKUP("&lt;T2SpaltenTitel_2&gt;",Uebersetzungen!$B$3:$E$133,Uebersetzungen!$B$2+1,FALSE)</f>
        <v>M</v>
      </c>
      <c r="AH12" s="92" t="str">
        <f>VLOOKUP("&lt;T2SpaltenTitel_3&gt;",Uebersetzungen!$B$3:$E$133,Uebersetzungen!$B$2+1,FALSE)</f>
        <v>F in %</v>
      </c>
      <c r="AI12" s="92" t="str">
        <f>VLOOKUP("&lt;T2SpaltenTitel_1&gt;",Uebersetzungen!$B$3:$E$133,Uebersetzungen!$B$2+1,FALSE)</f>
        <v>F</v>
      </c>
      <c r="AJ12" s="92" t="str">
        <f>VLOOKUP("&lt;T2SpaltenTitel_2&gt;",Uebersetzungen!$B$3:$E$133,Uebersetzungen!$B$2+1,FALSE)</f>
        <v>M</v>
      </c>
      <c r="AK12" s="92" t="str">
        <f>VLOOKUP("&lt;T2SpaltenTitel_3&gt;",Uebersetzungen!$B$3:$E$133,Uebersetzungen!$B$2+1,FALSE)</f>
        <v>F in %</v>
      </c>
      <c r="AL12" s="92" t="str">
        <f>VLOOKUP("&lt;T2SpaltenTitel_1&gt;",Uebersetzungen!$B$3:$E$133,Uebersetzungen!$B$2+1,FALSE)</f>
        <v>F</v>
      </c>
      <c r="AM12" s="92" t="str">
        <f>VLOOKUP("&lt;T2SpaltenTitel_2&gt;",Uebersetzungen!$B$3:$E$133,Uebersetzungen!$B$2+1,FALSE)</f>
        <v>M</v>
      </c>
      <c r="AN12" s="92" t="str">
        <f>VLOOKUP("&lt;T2SpaltenTitel_3&gt;",Uebersetzungen!$B$3:$E$133,Uebersetzungen!$B$2+1,FALSE)</f>
        <v>F in %</v>
      </c>
      <c r="AO12" s="92" t="str">
        <f>VLOOKUP("&lt;T2SpaltenTitel_1&gt;",Uebersetzungen!$B$3:$E$133,Uebersetzungen!$B$2+1,FALSE)</f>
        <v>F</v>
      </c>
      <c r="AP12" s="92" t="str">
        <f>VLOOKUP("&lt;T2SpaltenTitel_2&gt;",Uebersetzungen!$B$3:$E$133,Uebersetzungen!$B$2+1,FALSE)</f>
        <v>M</v>
      </c>
      <c r="AQ12" s="92" t="str">
        <f>VLOOKUP("&lt;T2SpaltenTitel_3&gt;",Uebersetzungen!$B$3:$E$133,Uebersetzungen!$B$2+1,FALSE)</f>
        <v>F in %</v>
      </c>
    </row>
    <row r="13" spans="1:43" ht="14.25" x14ac:dyDescent="0.2">
      <c r="A13" s="93" t="str">
        <f>VLOOKUP("&lt;T4Zeilentitel_1&gt;",Uebersetzungen!$B$3:$E$133,Uebersetzungen!$B$2+1,FALSE)</f>
        <v>FDP</v>
      </c>
      <c r="B13" s="37"/>
      <c r="C13" s="31">
        <v>1</v>
      </c>
      <c r="D13" s="32">
        <f t="shared" ref="D13:D20" si="0">IF(OR(ISNUMBER(B13),ISNUMBER(C13)),100/SUM(B13:C13)*B13,"")</f>
        <v>0</v>
      </c>
      <c r="E13" s="37"/>
      <c r="F13" s="31">
        <v>1</v>
      </c>
      <c r="G13" s="32">
        <f t="shared" ref="G13:G20" si="1">IF(OR(ISNUMBER(E13),ISNUMBER(F13)),100/SUM(E13:F13)*E13,"")</f>
        <v>0</v>
      </c>
      <c r="H13" s="37"/>
      <c r="I13" s="31">
        <v>1</v>
      </c>
      <c r="J13" s="32">
        <f t="shared" ref="J13:J20" si="2">IF(OR(ISNUMBER(H13),ISNUMBER(I13)),100/SUM(H13:I13)*H13,"")</f>
        <v>0</v>
      </c>
      <c r="K13" s="37"/>
      <c r="L13" s="31">
        <v>1</v>
      </c>
      <c r="M13" s="32">
        <f t="shared" ref="M13:M20" si="3">IF(OR(ISNUMBER(K13),ISNUMBER(L13)),100/SUM(K13:L13)*K13,"")</f>
        <v>0</v>
      </c>
      <c r="N13" s="37"/>
      <c r="O13" s="31">
        <v>1</v>
      </c>
      <c r="P13" s="32">
        <f t="shared" ref="P13:P20" si="4">IF(OR(ISNUMBER(N13),ISNUMBER(O13)),100/SUM(N13:O13)*N13,"")</f>
        <v>0</v>
      </c>
      <c r="Q13" s="37"/>
      <c r="R13" s="31">
        <v>1</v>
      </c>
      <c r="S13" s="32">
        <f t="shared" ref="S13:S20" si="5">IF(OR(ISNUMBER(Q13),ISNUMBER(R13)),100/SUM(Q13:R13)*Q13,"")</f>
        <v>0</v>
      </c>
      <c r="T13" s="37"/>
      <c r="U13" s="31">
        <v>1</v>
      </c>
      <c r="V13" s="32">
        <f t="shared" ref="V13:V20" si="6">IF(OR(ISNUMBER(T13),ISNUMBER(U13)),100/SUM(T13:U13)*T13,"")</f>
        <v>0</v>
      </c>
      <c r="W13" s="37"/>
      <c r="X13" s="31">
        <v>1</v>
      </c>
      <c r="Y13" s="32">
        <f t="shared" ref="Y13:Y20" si="7">IF(OR(ISNUMBER(W13),ISNUMBER(X13)),100/SUM(W13:X13)*W13,"")</f>
        <v>0</v>
      </c>
      <c r="Z13" s="37"/>
      <c r="AA13" s="31">
        <v>1</v>
      </c>
      <c r="AB13" s="32">
        <f t="shared" ref="AB13:AB20" si="8">IF(OR(ISNUMBER(Z13),ISNUMBER(AA13)),100/SUM(Z13:AA13)*Z13,"")</f>
        <v>0</v>
      </c>
      <c r="AC13" s="37"/>
      <c r="AD13" s="31">
        <v>1</v>
      </c>
      <c r="AE13" s="32">
        <f t="shared" ref="AE13:AE20" si="9">IF(OR(ISNUMBER(AC13),ISNUMBER(AD13)),100/SUM(AC13:AD13)*AC13,"")</f>
        <v>0</v>
      </c>
      <c r="AF13" s="33"/>
      <c r="AG13" s="31"/>
      <c r="AH13" s="32" t="str">
        <f t="shared" ref="AH13:AH19" si="10">IF(OR(ISNUMBER(AF13),ISNUMBER(AG13)),100/SUM(AF13:AG13)*AF13,"")</f>
        <v/>
      </c>
      <c r="AI13" s="33"/>
      <c r="AJ13" s="31"/>
      <c r="AK13" s="32" t="str">
        <f t="shared" ref="AK13:AK19" si="11">IF(OR(ISNUMBER(AI13),ISNUMBER(AJ13)),100/SUM(AI13:AJ13)*AI13,"")</f>
        <v/>
      </c>
      <c r="AL13" s="33">
        <v>1</v>
      </c>
      <c r="AM13" s="31"/>
      <c r="AN13" s="32">
        <f>IF(OR(ISNUMBER(AL13),ISNUMBER(AM13)),100/SUM(AL13:AM13)*AL13,"")</f>
        <v>100</v>
      </c>
      <c r="AO13" s="33">
        <v>1</v>
      </c>
      <c r="AP13" s="31"/>
      <c r="AQ13" s="32">
        <f t="shared" ref="AQ13:AQ18" si="12">IF(OR(ISNUMBER(AO13),ISNUMBER(AP13)),100/SUM(AO13:AP13)*AO13,"")</f>
        <v>100</v>
      </c>
    </row>
    <row r="14" spans="1:43" ht="14.25" x14ac:dyDescent="0.2">
      <c r="A14" s="93" t="str">
        <f>VLOOKUP("&lt;T4Zeilentitel_2&gt;",Uebersetzungen!$B$3:$E$133,Uebersetzungen!$B$2+1,FALSE)</f>
        <v>Die Mitte</v>
      </c>
      <c r="B14" s="37"/>
      <c r="C14" s="31"/>
      <c r="D14" s="32"/>
      <c r="E14" s="37"/>
      <c r="F14" s="31"/>
      <c r="G14" s="32"/>
      <c r="H14" s="37"/>
      <c r="I14" s="31"/>
      <c r="J14" s="32"/>
      <c r="K14" s="37"/>
      <c r="L14" s="31"/>
      <c r="M14" s="32"/>
      <c r="N14" s="37"/>
      <c r="O14" s="31"/>
      <c r="P14" s="32"/>
      <c r="Q14" s="37"/>
      <c r="R14" s="31"/>
      <c r="S14" s="32"/>
      <c r="T14" s="37"/>
      <c r="U14" s="31"/>
      <c r="V14" s="32"/>
      <c r="W14" s="37"/>
      <c r="X14" s="31"/>
      <c r="Y14" s="32"/>
      <c r="Z14" s="37"/>
      <c r="AA14" s="31"/>
      <c r="AB14" s="32"/>
      <c r="AC14" s="37"/>
      <c r="AD14" s="31"/>
      <c r="AE14" s="32"/>
      <c r="AF14" s="33"/>
      <c r="AG14" s="31"/>
      <c r="AH14" s="32"/>
      <c r="AI14" s="33"/>
      <c r="AJ14" s="31"/>
      <c r="AK14" s="32"/>
      <c r="AL14" s="33"/>
      <c r="AM14" s="31"/>
      <c r="AN14" s="32"/>
      <c r="AO14" s="33"/>
      <c r="AP14" s="31">
        <v>1</v>
      </c>
      <c r="AQ14" s="32">
        <f t="shared" si="12"/>
        <v>0</v>
      </c>
    </row>
    <row r="15" spans="1:43" ht="14.25" x14ac:dyDescent="0.2">
      <c r="A15" s="93" t="str">
        <f>VLOOKUP("&lt;T4Zeilentitel_3&gt;",Uebersetzungen!$B$3:$E$133,Uebersetzungen!$B$2+1,FALSE)</f>
        <v>CVP</v>
      </c>
      <c r="B15" s="37"/>
      <c r="C15" s="31">
        <v>2</v>
      </c>
      <c r="D15" s="32">
        <f t="shared" si="0"/>
        <v>0</v>
      </c>
      <c r="E15" s="37"/>
      <c r="F15" s="31">
        <v>2</v>
      </c>
      <c r="G15" s="32">
        <f t="shared" si="1"/>
        <v>0</v>
      </c>
      <c r="H15" s="37"/>
      <c r="I15" s="31">
        <v>2</v>
      </c>
      <c r="J15" s="32">
        <f t="shared" si="2"/>
        <v>0</v>
      </c>
      <c r="K15" s="37"/>
      <c r="L15" s="31">
        <v>2</v>
      </c>
      <c r="M15" s="32">
        <f t="shared" si="3"/>
        <v>0</v>
      </c>
      <c r="N15" s="37"/>
      <c r="O15" s="31">
        <v>2</v>
      </c>
      <c r="P15" s="32">
        <f t="shared" si="4"/>
        <v>0</v>
      </c>
      <c r="Q15" s="37"/>
      <c r="R15" s="31">
        <v>1</v>
      </c>
      <c r="S15" s="32">
        <f t="shared" si="5"/>
        <v>0</v>
      </c>
      <c r="T15" s="37"/>
      <c r="U15" s="31">
        <v>1</v>
      </c>
      <c r="V15" s="32">
        <f t="shared" si="6"/>
        <v>0</v>
      </c>
      <c r="W15" s="37"/>
      <c r="X15" s="31">
        <v>1</v>
      </c>
      <c r="Y15" s="32">
        <f t="shared" si="7"/>
        <v>0</v>
      </c>
      <c r="Z15" s="37"/>
      <c r="AA15" s="31">
        <v>1</v>
      </c>
      <c r="AB15" s="32">
        <f t="shared" si="8"/>
        <v>0</v>
      </c>
      <c r="AC15" s="37"/>
      <c r="AD15" s="31">
        <v>1</v>
      </c>
      <c r="AE15" s="32">
        <f t="shared" si="9"/>
        <v>0</v>
      </c>
      <c r="AF15" s="33"/>
      <c r="AG15" s="31">
        <v>1</v>
      </c>
      <c r="AH15" s="32">
        <f t="shared" si="10"/>
        <v>0</v>
      </c>
      <c r="AI15" s="33"/>
      <c r="AJ15" s="31">
        <v>1</v>
      </c>
      <c r="AK15" s="32">
        <f t="shared" si="11"/>
        <v>0</v>
      </c>
      <c r="AL15" s="33"/>
      <c r="AM15" s="31">
        <v>1</v>
      </c>
      <c r="AN15" s="32">
        <f>IF(OR(ISNUMBER(AL15),ISNUMBER(AM15)),100/SUM(AL15:AM15)*AL15,"")</f>
        <v>0</v>
      </c>
      <c r="AO15" s="33"/>
      <c r="AP15" s="31"/>
      <c r="AQ15" s="32" t="str">
        <f t="shared" si="12"/>
        <v/>
      </c>
    </row>
    <row r="16" spans="1:43" ht="14.25" x14ac:dyDescent="0.2">
      <c r="A16" s="93" t="str">
        <f>VLOOKUP("&lt;T4Zeilentitel_4&gt;",Uebersetzungen!$B$3:$E$133,Uebersetzungen!$B$2+1,FALSE)</f>
        <v>SP</v>
      </c>
      <c r="B16" s="37"/>
      <c r="C16" s="31"/>
      <c r="D16" s="32" t="str">
        <f t="shared" si="0"/>
        <v/>
      </c>
      <c r="E16" s="37"/>
      <c r="F16" s="31">
        <v>1</v>
      </c>
      <c r="G16" s="32">
        <f t="shared" si="1"/>
        <v>0</v>
      </c>
      <c r="H16" s="37"/>
      <c r="I16" s="31">
        <v>1</v>
      </c>
      <c r="J16" s="32">
        <f t="shared" si="2"/>
        <v>0</v>
      </c>
      <c r="K16" s="37"/>
      <c r="L16" s="31">
        <v>1</v>
      </c>
      <c r="M16" s="32">
        <f t="shared" si="3"/>
        <v>0</v>
      </c>
      <c r="N16" s="37"/>
      <c r="O16" s="31">
        <v>1</v>
      </c>
      <c r="P16" s="32">
        <f t="shared" si="4"/>
        <v>0</v>
      </c>
      <c r="Q16" s="37"/>
      <c r="R16" s="31">
        <v>2</v>
      </c>
      <c r="S16" s="32">
        <f t="shared" si="5"/>
        <v>0</v>
      </c>
      <c r="T16" s="37">
        <v>1</v>
      </c>
      <c r="U16" s="31">
        <v>1</v>
      </c>
      <c r="V16" s="32">
        <f t="shared" si="6"/>
        <v>50</v>
      </c>
      <c r="W16" s="37"/>
      <c r="X16" s="31">
        <v>1</v>
      </c>
      <c r="Y16" s="32">
        <f t="shared" si="7"/>
        <v>0</v>
      </c>
      <c r="Z16" s="37"/>
      <c r="AA16" s="31">
        <v>1</v>
      </c>
      <c r="AB16" s="32">
        <f t="shared" si="8"/>
        <v>0</v>
      </c>
      <c r="AC16" s="37"/>
      <c r="AD16" s="31">
        <v>1</v>
      </c>
      <c r="AE16" s="32">
        <f t="shared" si="9"/>
        <v>0</v>
      </c>
      <c r="AF16" s="33">
        <v>1</v>
      </c>
      <c r="AG16" s="31"/>
      <c r="AH16" s="32">
        <f t="shared" si="10"/>
        <v>100</v>
      </c>
      <c r="AI16" s="33">
        <v>1</v>
      </c>
      <c r="AJ16" s="31"/>
      <c r="AK16" s="32">
        <f t="shared" si="11"/>
        <v>100</v>
      </c>
      <c r="AL16" s="33">
        <v>1</v>
      </c>
      <c r="AM16" s="31">
        <v>1</v>
      </c>
      <c r="AN16" s="32">
        <f>IF(OR(ISNUMBER(AL16),ISNUMBER(AM16)),100/SUM(AL16:AM16)*AL16,"")</f>
        <v>50</v>
      </c>
      <c r="AO16" s="33"/>
      <c r="AP16" s="31">
        <v>1</v>
      </c>
      <c r="AQ16" s="32">
        <f t="shared" si="12"/>
        <v>0</v>
      </c>
    </row>
    <row r="17" spans="1:43" ht="14.25" x14ac:dyDescent="0.2">
      <c r="A17" s="93" t="str">
        <f>VLOOKUP("&lt;T4Zeilentitel_5&gt;",Uebersetzungen!$B$3:$E$133,Uebersetzungen!$B$2+1,FALSE)</f>
        <v>SVP</v>
      </c>
      <c r="B17" s="37"/>
      <c r="C17" s="31">
        <v>2</v>
      </c>
      <c r="D17" s="32">
        <f t="shared" si="0"/>
        <v>0</v>
      </c>
      <c r="E17" s="37"/>
      <c r="F17" s="31">
        <v>1</v>
      </c>
      <c r="G17" s="32">
        <f t="shared" si="1"/>
        <v>0</v>
      </c>
      <c r="H17" s="37"/>
      <c r="I17" s="31">
        <v>1</v>
      </c>
      <c r="J17" s="32">
        <f t="shared" si="2"/>
        <v>0</v>
      </c>
      <c r="K17" s="37"/>
      <c r="L17" s="31">
        <v>1</v>
      </c>
      <c r="M17" s="32">
        <f t="shared" si="3"/>
        <v>0</v>
      </c>
      <c r="N17" s="37"/>
      <c r="O17" s="31">
        <v>1</v>
      </c>
      <c r="P17" s="32">
        <f t="shared" si="4"/>
        <v>0</v>
      </c>
      <c r="Q17" s="37"/>
      <c r="R17" s="31">
        <v>1</v>
      </c>
      <c r="S17" s="32">
        <f t="shared" si="5"/>
        <v>0</v>
      </c>
      <c r="T17" s="37">
        <v>1</v>
      </c>
      <c r="U17" s="31"/>
      <c r="V17" s="32">
        <f t="shared" si="6"/>
        <v>100</v>
      </c>
      <c r="W17" s="37">
        <v>1</v>
      </c>
      <c r="X17" s="31">
        <v>1</v>
      </c>
      <c r="Y17" s="32">
        <f t="shared" si="7"/>
        <v>50</v>
      </c>
      <c r="Z17" s="37">
        <v>1</v>
      </c>
      <c r="AA17" s="31">
        <v>1</v>
      </c>
      <c r="AB17" s="32">
        <f t="shared" si="8"/>
        <v>50</v>
      </c>
      <c r="AC17" s="37">
        <v>1</v>
      </c>
      <c r="AD17" s="31">
        <v>1</v>
      </c>
      <c r="AE17" s="32">
        <f t="shared" si="9"/>
        <v>50</v>
      </c>
      <c r="AF17" s="33"/>
      <c r="AG17" s="31">
        <v>1</v>
      </c>
      <c r="AH17" s="32">
        <f t="shared" si="10"/>
        <v>0</v>
      </c>
      <c r="AI17" s="33">
        <v>1</v>
      </c>
      <c r="AJ17" s="31">
        <v>1</v>
      </c>
      <c r="AK17" s="32">
        <f t="shared" si="11"/>
        <v>50</v>
      </c>
      <c r="AL17" s="33">
        <v>1</v>
      </c>
      <c r="AM17" s="31"/>
      <c r="AN17" s="32">
        <f>IF(OR(ISNUMBER(AL17),ISNUMBER(AM17)),100/SUM(AL17:AM17)*AL17,"")</f>
        <v>100</v>
      </c>
      <c r="AO17" s="33">
        <v>1</v>
      </c>
      <c r="AP17" s="31">
        <v>1</v>
      </c>
      <c r="AQ17" s="32">
        <f t="shared" si="12"/>
        <v>50</v>
      </c>
    </row>
    <row r="18" spans="1:43" ht="14.25" x14ac:dyDescent="0.2">
      <c r="A18" s="93" t="str">
        <f>VLOOKUP("&lt;T4Zeilentitel_6&gt;",Uebersetzungen!$B$3:$E$133,Uebersetzungen!$B$2+1,FALSE)</f>
        <v>GLP</v>
      </c>
      <c r="B18" s="37"/>
      <c r="C18" s="31"/>
      <c r="D18" s="32"/>
      <c r="E18" s="37"/>
      <c r="F18" s="31"/>
      <c r="G18" s="32"/>
      <c r="H18" s="37"/>
      <c r="I18" s="31"/>
      <c r="J18" s="32"/>
      <c r="K18" s="37"/>
      <c r="L18" s="31"/>
      <c r="M18" s="32"/>
      <c r="N18" s="37"/>
      <c r="O18" s="31"/>
      <c r="P18" s="32"/>
      <c r="Q18" s="37"/>
      <c r="R18" s="31"/>
      <c r="S18" s="32"/>
      <c r="T18" s="37"/>
      <c r="U18" s="31"/>
      <c r="V18" s="32"/>
      <c r="W18" s="37"/>
      <c r="X18" s="31"/>
      <c r="Y18" s="32"/>
      <c r="Z18" s="37"/>
      <c r="AA18" s="31"/>
      <c r="AB18" s="32"/>
      <c r="AC18" s="37"/>
      <c r="AD18" s="31"/>
      <c r="AE18" s="32"/>
      <c r="AF18" s="33"/>
      <c r="AG18" s="31">
        <v>1</v>
      </c>
      <c r="AH18" s="32">
        <f t="shared" si="10"/>
        <v>0</v>
      </c>
      <c r="AI18" s="33"/>
      <c r="AJ18" s="31"/>
      <c r="AK18" s="32" t="str">
        <f t="shared" si="11"/>
        <v/>
      </c>
      <c r="AL18" s="33"/>
      <c r="AM18" s="31"/>
      <c r="AN18" s="32" t="str">
        <f>IF(OR(ISNUMBER(AL18),ISNUMBER(AM18)),100/SUM(AL18:AM18)*AL18,"")</f>
        <v/>
      </c>
      <c r="AO18" s="33"/>
      <c r="AP18" s="31"/>
      <c r="AQ18" s="32" t="str">
        <f t="shared" si="12"/>
        <v/>
      </c>
    </row>
    <row r="19" spans="1:43" ht="14.25" x14ac:dyDescent="0.2">
      <c r="A19" s="93" t="str">
        <f>VLOOKUP("&lt;T4Zeilentitel_7&gt;",Uebersetzungen!$B$3:$E$133,Uebersetzungen!$B$2+1,FALSE)</f>
        <v>BDP</v>
      </c>
      <c r="B19" s="37"/>
      <c r="C19" s="31"/>
      <c r="D19" s="32"/>
      <c r="E19" s="37"/>
      <c r="F19" s="31"/>
      <c r="G19" s="32"/>
      <c r="H19" s="37"/>
      <c r="I19" s="31"/>
      <c r="J19" s="32"/>
      <c r="K19" s="37"/>
      <c r="L19" s="31"/>
      <c r="M19" s="32"/>
      <c r="N19" s="37"/>
      <c r="O19" s="31"/>
      <c r="P19" s="32"/>
      <c r="Q19" s="37"/>
      <c r="R19" s="31"/>
      <c r="S19" s="32"/>
      <c r="T19" s="37"/>
      <c r="U19" s="31"/>
      <c r="V19" s="32"/>
      <c r="W19" s="37"/>
      <c r="X19" s="31"/>
      <c r="Y19" s="32"/>
      <c r="Z19" s="37"/>
      <c r="AA19" s="31"/>
      <c r="AB19" s="32"/>
      <c r="AC19" s="37"/>
      <c r="AD19" s="31"/>
      <c r="AE19" s="32"/>
      <c r="AF19" s="33"/>
      <c r="AG19" s="31">
        <v>1</v>
      </c>
      <c r="AH19" s="32">
        <f t="shared" si="10"/>
        <v>0</v>
      </c>
      <c r="AI19" s="33"/>
      <c r="AJ19" s="31">
        <v>1</v>
      </c>
      <c r="AK19" s="32">
        <f t="shared" si="11"/>
        <v>0</v>
      </c>
      <c r="AL19" s="33"/>
      <c r="AM19" s="31"/>
      <c r="AN19" s="32"/>
      <c r="AO19" s="33"/>
      <c r="AP19" s="31"/>
      <c r="AQ19" s="32"/>
    </row>
    <row r="20" spans="1:43" ht="14.25" x14ac:dyDescent="0.2">
      <c r="A20" s="94" t="str">
        <f>VLOOKUP("&lt;T4Zeilentitel_8&gt;",Uebersetzungen!$B$3:$E$133,Uebersetzungen!$B$2+1,FALSE)</f>
        <v>Total</v>
      </c>
      <c r="B20" s="85"/>
      <c r="C20" s="86">
        <v>5</v>
      </c>
      <c r="D20" s="87">
        <f t="shared" si="0"/>
        <v>0</v>
      </c>
      <c r="E20" s="85"/>
      <c r="F20" s="86">
        <v>5</v>
      </c>
      <c r="G20" s="87">
        <f t="shared" si="1"/>
        <v>0</v>
      </c>
      <c r="H20" s="85"/>
      <c r="I20" s="86">
        <v>5</v>
      </c>
      <c r="J20" s="87">
        <f t="shared" si="2"/>
        <v>0</v>
      </c>
      <c r="K20" s="85"/>
      <c r="L20" s="86">
        <v>5</v>
      </c>
      <c r="M20" s="87">
        <f t="shared" si="3"/>
        <v>0</v>
      </c>
      <c r="N20" s="85"/>
      <c r="O20" s="86">
        <v>5</v>
      </c>
      <c r="P20" s="87">
        <f t="shared" si="4"/>
        <v>0</v>
      </c>
      <c r="Q20" s="85"/>
      <c r="R20" s="86">
        <v>5</v>
      </c>
      <c r="S20" s="87">
        <f t="shared" si="5"/>
        <v>0</v>
      </c>
      <c r="T20" s="85">
        <v>2</v>
      </c>
      <c r="U20" s="86">
        <v>3</v>
      </c>
      <c r="V20" s="87">
        <f t="shared" si="6"/>
        <v>40</v>
      </c>
      <c r="W20" s="85">
        <v>1</v>
      </c>
      <c r="X20" s="86">
        <v>4</v>
      </c>
      <c r="Y20" s="87">
        <f t="shared" si="7"/>
        <v>20</v>
      </c>
      <c r="Z20" s="85">
        <v>1</v>
      </c>
      <c r="AA20" s="86">
        <v>4</v>
      </c>
      <c r="AB20" s="87">
        <f t="shared" si="8"/>
        <v>20</v>
      </c>
      <c r="AC20" s="85">
        <v>1</v>
      </c>
      <c r="AD20" s="86">
        <v>4</v>
      </c>
      <c r="AE20" s="87">
        <f t="shared" si="9"/>
        <v>20</v>
      </c>
      <c r="AF20" s="88">
        <v>1</v>
      </c>
      <c r="AG20" s="86">
        <v>4</v>
      </c>
      <c r="AH20" s="87">
        <f>IF(OR(ISNUMBER(AF20),ISNUMBER(AG20)),100/SUM(AF20:AG20)*AF20,"")</f>
        <v>20</v>
      </c>
      <c r="AI20" s="88">
        <v>2</v>
      </c>
      <c r="AJ20" s="86">
        <v>3</v>
      </c>
      <c r="AK20" s="87">
        <f>IF(OR(ISNUMBER(AI20),ISNUMBER(AJ20)),100/SUM(AI20:AJ20)*AI20,"")</f>
        <v>40</v>
      </c>
      <c r="AL20" s="88">
        <v>3</v>
      </c>
      <c r="AM20" s="86">
        <v>2</v>
      </c>
      <c r="AN20" s="87">
        <f>IF(OR(ISNUMBER(AL20),ISNUMBER(AM20)),100/SUM(AL20:AM20)*AL20,"")</f>
        <v>60</v>
      </c>
      <c r="AO20" s="88">
        <v>2</v>
      </c>
      <c r="AP20" s="86">
        <v>3</v>
      </c>
      <c r="AQ20" s="87">
        <f>IF(OR(ISNUMBER(AO20),ISNUMBER(AP20)),100/SUM(AO20:AP20)*AO20,"")</f>
        <v>40</v>
      </c>
    </row>
    <row r="21" spans="1:43" ht="14.25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43" ht="14.25" x14ac:dyDescent="0.2">
      <c r="A22" s="67" t="str">
        <f>VLOOKUP("&lt;Quelle_1&gt;",Uebersetzungen!$B$3:$E$52,Uebersetzungen!$B$2+1,FALSE)</f>
        <v>Quelle: BFS (Statistik der Nationalratswahlen)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43" ht="14.25" x14ac:dyDescent="0.2">
      <c r="A23" s="68" t="str">
        <f>VLOOKUP("&lt;Aktualisierung&gt;",Uebersetzungen!$B$3:$E$52,Uebersetzungen!$B$2+1,FALSE)</f>
        <v>Letztmals aktualisiert am: 21.03.2024</v>
      </c>
    </row>
  </sheetData>
  <sheetProtection sheet="1" objects="1" scenarios="1"/>
  <mergeCells count="15">
    <mergeCell ref="AO11:AQ11"/>
    <mergeCell ref="AL11:AN11"/>
    <mergeCell ref="B11:D11"/>
    <mergeCell ref="E11:G11"/>
    <mergeCell ref="H11:J11"/>
    <mergeCell ref="K11:M11"/>
    <mergeCell ref="N11:P11"/>
    <mergeCell ref="A7:D7"/>
    <mergeCell ref="AI11:AK11"/>
    <mergeCell ref="Q11:S11"/>
    <mergeCell ref="T11:V11"/>
    <mergeCell ref="W11:Y11"/>
    <mergeCell ref="Z11:AB11"/>
    <mergeCell ref="AC11:AE11"/>
    <mergeCell ref="AF11:AH11"/>
  </mergeCells>
  <phoneticPr fontId="0" type="noConversion"/>
  <pageMargins left="0.2" right="0.19" top="0.66" bottom="0.46" header="0.51181102362204722" footer="0.3"/>
  <pageSetup paperSize="9" scale="8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13</xdr:col>
                    <xdr:colOff>219075</xdr:colOff>
                    <xdr:row>1</xdr:row>
                    <xdr:rowOff>114300</xdr:rowOff>
                  </from>
                  <to>
                    <xdr:col>16</xdr:col>
                    <xdr:colOff>142875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13</xdr:col>
                    <xdr:colOff>219075</xdr:colOff>
                    <xdr:row>2</xdr:row>
                    <xdr:rowOff>104775</xdr:rowOff>
                  </from>
                  <to>
                    <xdr:col>17</xdr:col>
                    <xdr:colOff>161925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13</xdr:col>
                    <xdr:colOff>219075</xdr:colOff>
                    <xdr:row>3</xdr:row>
                    <xdr:rowOff>66675</xdr:rowOff>
                  </from>
                  <to>
                    <xdr:col>16</xdr:col>
                    <xdr:colOff>142875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/>
  </sheetViews>
  <sheetFormatPr baseColWidth="10" defaultRowHeight="14.25" x14ac:dyDescent="0.2"/>
  <cols>
    <col min="1" max="1" width="14.83203125" style="1" customWidth="1"/>
    <col min="2" max="2" width="100.5" style="1" customWidth="1"/>
    <col min="3" max="16384" width="12" style="1"/>
  </cols>
  <sheetData>
    <row r="1" spans="1:10" s="65" customFormat="1" ht="12.75" x14ac:dyDescent="0.2"/>
    <row r="2" spans="1:10" s="65" customFormat="1" ht="15.75" x14ac:dyDescent="0.25">
      <c r="B2" s="47"/>
      <c r="C2" s="66"/>
      <c r="D2" s="66"/>
    </row>
    <row r="3" spans="1:10" s="65" customFormat="1" ht="15.75" x14ac:dyDescent="0.25">
      <c r="B3" s="47"/>
      <c r="C3" s="66"/>
      <c r="D3" s="66"/>
    </row>
    <row r="4" spans="1:10" s="65" customFormat="1" ht="15.75" x14ac:dyDescent="0.25">
      <c r="B4" s="47"/>
      <c r="C4" s="66"/>
      <c r="D4" s="66"/>
    </row>
    <row r="5" spans="1:10" s="65" customFormat="1" ht="12.75" x14ac:dyDescent="0.2"/>
    <row r="6" spans="1:10" s="46" customFormat="1" ht="12.75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10" s="48" customFormat="1" ht="15.75" customHeight="1" x14ac:dyDescent="0.25">
      <c r="A7" s="104" t="str">
        <f>VLOOKUP("&lt;Fachbereich&gt;",Uebersetzungen!$B$3:$E$31,Uebersetzungen!$B$2+1,FALSE)</f>
        <v>Daten &amp; Statistik</v>
      </c>
      <c r="B7" s="104"/>
      <c r="C7" s="104"/>
      <c r="D7" s="104"/>
      <c r="E7" s="49"/>
      <c r="F7" s="49"/>
      <c r="G7" s="49"/>
      <c r="H7" s="49"/>
      <c r="I7" s="49"/>
    </row>
    <row r="8" spans="1:10" s="48" customFormat="1" ht="15.75" x14ac:dyDescent="0.25">
      <c r="A8" s="50"/>
      <c r="B8" s="50"/>
      <c r="C8" s="50"/>
      <c r="D8" s="50"/>
      <c r="E8" s="49"/>
      <c r="F8" s="49"/>
      <c r="G8" s="49"/>
      <c r="H8" s="49"/>
      <c r="I8" s="49"/>
    </row>
    <row r="9" spans="1:10" ht="18" x14ac:dyDescent="0.2">
      <c r="A9" s="51" t="str">
        <f>VLOOKUP("&lt;T5Titel&gt;",Uebersetzungen!$B$3:$E$133,Uebersetzungen!$B$2+1,FALSE)</f>
        <v>Parteibezeichnungen</v>
      </c>
    </row>
    <row r="10" spans="1:10" x14ac:dyDescent="0.2">
      <c r="A10" s="1" t="str">
        <f>VLOOKUP("&lt;T5Zeilentitel_1&gt;",Uebersetzungen!$B$3:$E$133,Uebersetzungen!$B$2+1,FALSE)</f>
        <v>Grüne</v>
      </c>
      <c r="B10" s="1" t="str">
        <f>VLOOKUP("&lt;T5Zeilentitel_1.1&gt;",Uebersetzungen!$B$3:$E$133,Uebersetzungen!$B$2+1,FALSE)</f>
        <v xml:space="preserve">Früher Grüne Partei der Schweiz (GPS), bis März 2021. </v>
      </c>
      <c r="J10" s="2"/>
    </row>
    <row r="11" spans="1:10" x14ac:dyDescent="0.2">
      <c r="B11" s="1" t="str">
        <f>VLOOKUP("&lt;T5Zeilentitel_2.1&gt;",Uebersetzungen!$B$3:$E$133,Uebersetzungen!$B$2+1,FALSE)</f>
        <v>Im Jahr 2021 fusionierte die CVP mit der BDP unter der Bezeichnung «Die Mitte».</v>
      </c>
      <c r="J11" s="2"/>
    </row>
    <row r="12" spans="1:10" x14ac:dyDescent="0.2">
      <c r="A12" s="1" t="str">
        <f>VLOOKUP("&lt;T5Zeilentitel_3&gt;",Uebersetzungen!$B$3:$E$133,Uebersetzungen!$B$2+1,FALSE)</f>
        <v>FDP</v>
      </c>
      <c r="B12" s="1" t="str">
        <f>VLOOKUP("&lt;T5Zeilentitel_3.1&gt;",Uebersetzungen!$B$3:$E$133,Uebersetzungen!$B$2+1,FALSE)</f>
        <v>FDP.Die Liberalen</v>
      </c>
      <c r="H12" s="3"/>
    </row>
    <row r="13" spans="1:10" ht="31.5" customHeight="1" x14ac:dyDescent="0.2">
      <c r="A13" s="9"/>
      <c r="B13" s="69" t="str">
        <f>VLOOKUP("&lt;T5Zeilentitel_3.2&gt;",Uebersetzungen!$B$3:$E$133,Uebersetzungen!$B$2+1,FALSE)</f>
        <v>2009: Fusion von Freisinnig-Demokratischer Partei der Schweiz (FDP) und Liberaler Partei der Schweiz (LPS) auf nationaler Ebene unter der Bezeichnung «FDP. Die Liberalen»</v>
      </c>
    </row>
    <row r="14" spans="1:10" x14ac:dyDescent="0.2">
      <c r="A14" s="1" t="str">
        <f>VLOOKUP("&lt;T5Zeilentitel_4&gt;",Uebersetzungen!$B$3:$E$133,Uebersetzungen!$B$2+1,FALSE)</f>
        <v>CVP</v>
      </c>
      <c r="B14" s="1" t="str">
        <f>VLOOKUP("&lt;T5Zeilentitel_4.1&gt;",Uebersetzungen!$B$3:$E$133,Uebersetzungen!$B$2+1,FALSE)</f>
        <v>Christlichdemokratische Volkspartei der Schweiz</v>
      </c>
    </row>
    <row r="15" spans="1:10" x14ac:dyDescent="0.2">
      <c r="A15" s="1" t="str">
        <f>VLOOKUP("&lt;T5Zeilentitel_5&gt;",Uebersetzungen!$B$3:$E$133,Uebersetzungen!$B$2+1,FALSE)</f>
        <v>SP</v>
      </c>
      <c r="B15" s="1" t="str">
        <f>VLOOKUP("&lt;T5Zeilentitel_5.1&gt;",Uebersetzungen!$B$3:$E$133,Uebersetzungen!$B$2+1,FALSE)</f>
        <v>Sozialdemokratische Partei der Schweiz</v>
      </c>
    </row>
    <row r="16" spans="1:10" x14ac:dyDescent="0.2">
      <c r="A16" s="1" t="str">
        <f>VLOOKUP("&lt;T5Zeilentitel_6&gt;",Uebersetzungen!$B$3:$E$133,Uebersetzungen!$B$2+1,FALSE)</f>
        <v>SVP</v>
      </c>
      <c r="B16" s="1" t="str">
        <f>VLOOKUP("&lt;T5Zeilentitel_6.1&gt;",Uebersetzungen!$B$3:$E$133,Uebersetzungen!$B$2+1,FALSE)</f>
        <v>Schweizerische Volkspartei </v>
      </c>
    </row>
    <row r="17" spans="1:2" x14ac:dyDescent="0.2">
      <c r="A17" s="9"/>
      <c r="B17" s="1" t="str">
        <f>VLOOKUP("&lt;T5Zeilentitel_6.2&gt;",Uebersetzungen!$B$3:$E$133,Uebersetzungen!$B$2+1,FALSE)</f>
        <v>Bis 1971: Bauern-, Gewerbe- und Bürgerpartei (BGB).</v>
      </c>
    </row>
    <row r="18" spans="1:2" x14ac:dyDescent="0.2">
      <c r="A18" s="8" t="str">
        <f>VLOOKUP("&lt;T5Zeilentitel_7&gt;",Uebersetzungen!$B$3:$E$133,Uebersetzungen!$B$2+1,FALSE)</f>
        <v>LPS</v>
      </c>
      <c r="B18" s="8" t="str">
        <f>VLOOKUP("&lt;T5Zeilentitel_7.1&gt;",Uebersetzungen!$B$3:$E$133,Uebersetzungen!$B$2+1,FALSE)</f>
        <v>Liberale Partei der Schweiz</v>
      </c>
    </row>
    <row r="19" spans="1:2" x14ac:dyDescent="0.2">
      <c r="A19" s="9"/>
      <c r="B19" s="70" t="str">
        <f>VLOOKUP("&lt;T5Zeilentitel_7.2&gt;",Uebersetzungen!$B$3:$E$133,Uebersetzungen!$B$2+1,FALSE)</f>
        <v>2009 auf nationaler Ebene mit der FDP fusioniert</v>
      </c>
    </row>
    <row r="20" spans="1:2" x14ac:dyDescent="0.2">
      <c r="A20" s="8" t="str">
        <f>VLOOKUP("&lt;T5Zeilentitel_8&gt;",Uebersetzungen!$B$3:$E$133,Uebersetzungen!$B$2+1,FALSE)</f>
        <v>LdU</v>
      </c>
      <c r="B20" s="8" t="str">
        <f>VLOOKUP("&lt;T5Zeilentitel_8.1&gt;",Uebersetzungen!$B$3:$E$133,Uebersetzungen!$B$2+1,FALSE)</f>
        <v>Landesring der Unabhängigen (1936 – 1999)</v>
      </c>
    </row>
    <row r="21" spans="1:2" x14ac:dyDescent="0.2">
      <c r="A21" s="8" t="str">
        <f>VLOOKUP("&lt;T5Zeilentitel_9&gt;",Uebersetzungen!$B$3:$E$133,Uebersetzungen!$B$2+1,FALSE)</f>
        <v>CSP</v>
      </c>
      <c r="B21" s="8" t="str">
        <f>VLOOKUP("&lt;T5Zeilentitel_9.1&gt;",Uebersetzungen!$B$3:$E$133,Uebersetzungen!$B$2+1,FALSE)</f>
        <v>Christlichsoziale Partei</v>
      </c>
    </row>
    <row r="22" spans="1:2" x14ac:dyDescent="0.2">
      <c r="A22" s="8" t="str">
        <f>VLOOKUP("&lt;T5Zeilentitel_10&gt;",Uebersetzungen!$B$3:$E$133,Uebersetzungen!$B$2+1,FALSE)</f>
        <v>GLP</v>
      </c>
      <c r="B22" s="8" t="str">
        <f>VLOOKUP("&lt;T5Zeilentitel_10.1&gt;",Uebersetzungen!$B$3:$E$133,Uebersetzungen!$B$2+1,FALSE)</f>
        <v>Grünliberale Partei</v>
      </c>
    </row>
    <row r="23" spans="1:2" x14ac:dyDescent="0.2">
      <c r="A23" s="9"/>
      <c r="B23" s="8" t="str">
        <f>VLOOKUP("&lt;T5Zeilentitel_10.2&gt;",Uebersetzungen!$B$3:$E$133,Uebersetzungen!$B$2+1,FALSE)</f>
        <v>2004 von der GP Zürich abgespalten und 2007 als nationale Partei gegründet</v>
      </c>
    </row>
    <row r="24" spans="1:2" x14ac:dyDescent="0.2">
      <c r="A24" s="8" t="str">
        <f>VLOOKUP("&lt;T5Zeilentitel_11&gt;",Uebersetzungen!$B$3:$E$133,Uebersetzungen!$B$2+1,FALSE)</f>
        <v>BDP</v>
      </c>
      <c r="B24" s="8" t="str">
        <f>VLOOKUP("&lt;T5Zeilentitel_11.1&gt;",Uebersetzungen!$B$3:$E$133,Uebersetzungen!$B$2+1,FALSE)</f>
        <v>Bürgerlich-Demokratische Partei</v>
      </c>
    </row>
    <row r="25" spans="1:2" x14ac:dyDescent="0.2">
      <c r="A25" s="9"/>
      <c r="B25" s="8" t="str">
        <f>VLOOKUP("&lt;T5Zeilentitel_11.2&gt;",Uebersetzungen!$B$3:$E$133,Uebersetzungen!$B$2+1,FALSE)</f>
        <v>2008 von der SVP abgespalten</v>
      </c>
    </row>
    <row r="26" spans="1:2" x14ac:dyDescent="0.2">
      <c r="A26" s="8" t="str">
        <f>VLOOKUP("&lt;T5Zeilentitel_12&gt;",Uebersetzungen!$B$3:$E$133,Uebersetzungen!$B$2+1,FALSE)</f>
        <v>GPS</v>
      </c>
      <c r="B26" s="8" t="str">
        <f>VLOOKUP("&lt;T5Zeilentitel_12.1&gt;",Uebersetzungen!$B$3:$E$133,Uebersetzungen!$B$2+1,FALSE)</f>
        <v>Grüne Partei der Schweiz</v>
      </c>
    </row>
    <row r="27" spans="1:2" x14ac:dyDescent="0.2">
      <c r="A27" s="8" t="str">
        <f>VLOOKUP("&lt;T5Zeilentitel_13&gt;",Uebersetzungen!$B$3:$E$133,Uebersetzungen!$B$2+1,FALSE)</f>
        <v>FGA</v>
      </c>
      <c r="B27" s="8" t="str">
        <f>VLOOKUP("&lt;T5Zeilentitel_13.1&gt;",Uebersetzungen!$B$3:$E$133,Uebersetzungen!$B$2+1,FALSE)</f>
        <v>Feministische und grün-alternative Gruppierungen (Sammelbezeichnung, 1975 – 2010)</v>
      </c>
    </row>
    <row r="28" spans="1:2" x14ac:dyDescent="0.2">
      <c r="A28" s="8" t="str">
        <f>VLOOKUP("&lt;T5Zeilentitel_14&gt;",Uebersetzungen!$B$3:$E$133,Uebersetzungen!$B$2+1,FALSE)</f>
        <v>EDU</v>
      </c>
      <c r="B28" s="8" t="str">
        <f>VLOOKUP("&lt;T5Zeilentitel_14.1&gt;",Uebersetzungen!$B$3:$E$133,Uebersetzungen!$B$2+1,FALSE)</f>
        <v>Eidgenössisch-Demokratische Union</v>
      </c>
    </row>
    <row r="29" spans="1:2" x14ac:dyDescent="0.2">
      <c r="A29" s="8" t="str">
        <f>VLOOKUP("&lt;T5Zeilentitel_15&gt;",Uebersetzungen!$B$3:$E$133,Uebersetzungen!$B$2+1,FALSE)</f>
        <v>Übrige</v>
      </c>
      <c r="B29" s="8" t="str">
        <f>VLOOKUP("&lt;T5Zeilentitel_15.1&gt;",Uebersetzungen!$B$3:$E$133,Uebersetzungen!$B$2+1,FALSE)</f>
        <v>Splittergruppen</v>
      </c>
    </row>
    <row r="30" spans="1:2" x14ac:dyDescent="0.2">
      <c r="A30" s="9"/>
      <c r="B30" s="9"/>
    </row>
    <row r="31" spans="1:2" x14ac:dyDescent="0.2">
      <c r="A31" s="8"/>
      <c r="B31" s="8"/>
    </row>
    <row r="32" spans="1:2" ht="15" x14ac:dyDescent="0.25">
      <c r="A32" s="108" t="str">
        <f>VLOOKUP("&lt;T5Zeilentitel_16&gt;",Uebersetzungen!$B$3:$E$133,Uebersetzungen!$B$2+1,FALSE)</f>
        <v>Parteien, die hauptsächlich vor 1971 existierten:</v>
      </c>
      <c r="B32" s="108"/>
    </row>
    <row r="33" spans="1:2" x14ac:dyDescent="0.2">
      <c r="A33" s="8" t="str">
        <f>VLOOKUP("&lt;T5Zeilentitel_17&gt;",Uebersetzungen!$B$3:$E$133,Uebersetzungen!$B$2+1,FALSE)</f>
        <v>Dem.</v>
      </c>
      <c r="B33" s="8" t="str">
        <f>VLOOKUP("&lt;T5Zeilentitel_17.1&gt;",Uebersetzungen!$B$3:$E$133,Uebersetzungen!$B$2+1,FALSE)</f>
        <v>Demokraten (1905–1971)</v>
      </c>
    </row>
    <row r="34" spans="1:2" ht="54" customHeight="1" x14ac:dyDescent="0.2">
      <c r="A34" s="8"/>
      <c r="B34" s="70" t="str">
        <f>VLOOKUP("&lt;T5Zeilentitel_17.2&gt;",Uebersetzungen!$B$3:$E$133,Uebersetzungen!$B$2+1,FALSE)</f>
        <v>1971 schlossen sich die Zürcher Demokraten wieder der FDP an, während sich die Glarner und Bündner Demokraten mit der Bauern-, Gewerbe- und Bürgerpartei (BGB) zur SVP vereinigten</v>
      </c>
    </row>
    <row r="35" spans="1:2" ht="15" x14ac:dyDescent="0.25">
      <c r="A35" s="6"/>
    </row>
    <row r="36" spans="1:2" x14ac:dyDescent="0.2">
      <c r="A36" s="7"/>
    </row>
    <row r="37" spans="1:2" x14ac:dyDescent="0.2">
      <c r="A37" s="7"/>
    </row>
  </sheetData>
  <sheetProtection sheet="1" objects="1" scenarios="1"/>
  <mergeCells count="2">
    <mergeCell ref="A7:D7"/>
    <mergeCell ref="A32:B32"/>
  </mergeCells>
  <phoneticPr fontId="0" type="noConversion"/>
  <pageMargins left="0.17" right="0.17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</xdr:col>
                    <xdr:colOff>4752975</xdr:colOff>
                    <xdr:row>1</xdr:row>
                    <xdr:rowOff>104775</xdr:rowOff>
                  </from>
                  <to>
                    <xdr:col>2</xdr:col>
                    <xdr:colOff>38100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</xdr:col>
                    <xdr:colOff>4752975</xdr:colOff>
                    <xdr:row>2</xdr:row>
                    <xdr:rowOff>95250</xdr:rowOff>
                  </from>
                  <to>
                    <xdr:col>2</xdr:col>
                    <xdr:colOff>381000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</xdr:col>
                    <xdr:colOff>4752975</xdr:colOff>
                    <xdr:row>3</xdr:row>
                    <xdr:rowOff>57150</xdr:rowOff>
                  </from>
                  <to>
                    <xdr:col>2</xdr:col>
                    <xdr:colOff>38100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/>
  </sheetViews>
  <sheetFormatPr baseColWidth="10" defaultColWidth="14.6640625" defaultRowHeight="12.75" x14ac:dyDescent="0.2"/>
  <cols>
    <col min="1" max="1" width="10" style="59" bestFit="1" customWidth="1"/>
    <col min="2" max="2" width="20.6640625" style="59" bestFit="1" customWidth="1"/>
    <col min="3" max="3" width="89.1640625" style="59" customWidth="1"/>
    <col min="4" max="5" width="74.33203125" style="59" customWidth="1"/>
    <col min="6" max="16384" width="14.6640625" style="59"/>
  </cols>
  <sheetData>
    <row r="1" spans="1:6" x14ac:dyDescent="0.2">
      <c r="A1" s="57" t="s">
        <v>52</v>
      </c>
      <c r="B1" s="57" t="s">
        <v>53</v>
      </c>
      <c r="C1" s="57" t="s">
        <v>54</v>
      </c>
      <c r="D1" s="57" t="s">
        <v>55</v>
      </c>
      <c r="E1" s="57" t="s">
        <v>56</v>
      </c>
      <c r="F1" s="58"/>
    </row>
    <row r="2" spans="1:6" x14ac:dyDescent="0.2">
      <c r="A2" s="60" t="s">
        <v>57</v>
      </c>
      <c r="B2" s="61">
        <v>1</v>
      </c>
      <c r="C2" s="58"/>
      <c r="D2" s="58"/>
      <c r="E2" s="58"/>
      <c r="F2" s="58"/>
    </row>
    <row r="3" spans="1:6" x14ac:dyDescent="0.2">
      <c r="A3" s="60" t="s">
        <v>190</v>
      </c>
      <c r="B3" s="59" t="s">
        <v>58</v>
      </c>
      <c r="C3" s="59" t="s">
        <v>59</v>
      </c>
      <c r="D3" s="59" t="s">
        <v>60</v>
      </c>
      <c r="E3" s="59" t="s">
        <v>61</v>
      </c>
      <c r="F3" s="58"/>
    </row>
    <row r="4" spans="1:6" ht="25.5" x14ac:dyDescent="0.2">
      <c r="A4" s="60" t="s">
        <v>62</v>
      </c>
      <c r="B4" s="62" t="s">
        <v>63</v>
      </c>
      <c r="C4" s="62" t="s">
        <v>46</v>
      </c>
      <c r="D4" s="62" t="s">
        <v>195</v>
      </c>
      <c r="E4" s="62" t="s">
        <v>196</v>
      </c>
      <c r="F4" s="58"/>
    </row>
    <row r="5" spans="1:6" x14ac:dyDescent="0.2">
      <c r="A5" s="60"/>
      <c r="B5" s="60"/>
      <c r="C5" s="60"/>
      <c r="D5" s="60"/>
      <c r="E5" s="60"/>
      <c r="F5" s="58"/>
    </row>
    <row r="6" spans="1:6" x14ac:dyDescent="0.2">
      <c r="A6" s="60" t="s">
        <v>115</v>
      </c>
      <c r="B6" s="59" t="s">
        <v>64</v>
      </c>
      <c r="C6" s="59" t="s">
        <v>30</v>
      </c>
      <c r="D6" s="59" t="s">
        <v>65</v>
      </c>
      <c r="E6" s="59" t="s">
        <v>66</v>
      </c>
      <c r="F6" s="58"/>
    </row>
    <row r="7" spans="1:6" x14ac:dyDescent="0.2">
      <c r="A7" s="60"/>
      <c r="B7" s="58"/>
      <c r="C7" s="58"/>
      <c r="D7" s="58"/>
      <c r="E7" s="58"/>
      <c r="F7" s="58"/>
    </row>
    <row r="8" spans="1:6" x14ac:dyDescent="0.2">
      <c r="A8" s="60" t="s">
        <v>100</v>
      </c>
      <c r="B8" s="59" t="s">
        <v>67</v>
      </c>
      <c r="C8" s="59" t="s">
        <v>0</v>
      </c>
      <c r="D8" s="59" t="s">
        <v>68</v>
      </c>
      <c r="E8" s="59" t="s">
        <v>69</v>
      </c>
      <c r="F8" s="58"/>
    </row>
    <row r="9" spans="1:6" x14ac:dyDescent="0.2">
      <c r="A9" s="58"/>
      <c r="B9" s="59" t="s">
        <v>70</v>
      </c>
      <c r="C9" s="59" t="s">
        <v>47</v>
      </c>
      <c r="D9" s="59" t="s">
        <v>71</v>
      </c>
      <c r="E9" s="59" t="s">
        <v>72</v>
      </c>
      <c r="F9" s="58"/>
    </row>
    <row r="10" spans="1:6" x14ac:dyDescent="0.2">
      <c r="A10" s="58"/>
      <c r="B10" s="59" t="s">
        <v>73</v>
      </c>
      <c r="C10" s="59" t="s">
        <v>1</v>
      </c>
      <c r="D10" s="59" t="s">
        <v>74</v>
      </c>
      <c r="E10" s="59" t="s">
        <v>75</v>
      </c>
      <c r="F10" s="58"/>
    </row>
    <row r="11" spans="1:6" x14ac:dyDescent="0.2">
      <c r="A11" s="58"/>
      <c r="B11" s="59" t="s">
        <v>76</v>
      </c>
      <c r="C11" s="59" t="s">
        <v>6</v>
      </c>
      <c r="D11" s="59" t="s">
        <v>77</v>
      </c>
      <c r="E11" s="59" t="s">
        <v>77</v>
      </c>
      <c r="F11" s="58"/>
    </row>
    <row r="12" spans="1:6" x14ac:dyDescent="0.2">
      <c r="A12" s="58"/>
      <c r="B12" s="59" t="s">
        <v>78</v>
      </c>
      <c r="C12" s="59" t="s">
        <v>2</v>
      </c>
      <c r="D12" s="59" t="s">
        <v>79</v>
      </c>
      <c r="E12" s="59" t="s">
        <v>80</v>
      </c>
      <c r="F12" s="58"/>
    </row>
    <row r="13" spans="1:6" x14ac:dyDescent="0.2">
      <c r="A13" s="58"/>
      <c r="B13" s="59" t="s">
        <v>81</v>
      </c>
      <c r="C13" s="59" t="s">
        <v>7</v>
      </c>
      <c r="D13" s="59" t="s">
        <v>84</v>
      </c>
      <c r="E13" s="59" t="s">
        <v>85</v>
      </c>
      <c r="F13" s="58"/>
    </row>
    <row r="14" spans="1:6" x14ac:dyDescent="0.2">
      <c r="A14" s="58"/>
      <c r="B14" s="59" t="s">
        <v>83</v>
      </c>
      <c r="C14" s="59" t="s">
        <v>48</v>
      </c>
      <c r="D14" s="59" t="s">
        <v>216</v>
      </c>
      <c r="E14" s="59" t="s">
        <v>216</v>
      </c>
      <c r="F14" s="58"/>
    </row>
    <row r="15" spans="1:6" x14ac:dyDescent="0.2">
      <c r="A15" s="58"/>
      <c r="B15" s="59" t="s">
        <v>86</v>
      </c>
      <c r="C15" s="59" t="s">
        <v>8</v>
      </c>
      <c r="D15" s="59" t="s">
        <v>87</v>
      </c>
      <c r="E15" s="59" t="s">
        <v>87</v>
      </c>
      <c r="F15" s="58"/>
    </row>
    <row r="16" spans="1:6" x14ac:dyDescent="0.2">
      <c r="A16" s="58"/>
      <c r="B16" s="59" t="s">
        <v>88</v>
      </c>
      <c r="C16" s="59" t="s">
        <v>9</v>
      </c>
      <c r="D16" s="59" t="s">
        <v>89</v>
      </c>
      <c r="E16" s="59" t="s">
        <v>89</v>
      </c>
      <c r="F16" s="58"/>
    </row>
    <row r="17" spans="1:6" x14ac:dyDescent="0.2">
      <c r="A17" s="58"/>
      <c r="B17" s="59" t="s">
        <v>90</v>
      </c>
      <c r="C17" s="59" t="s">
        <v>17</v>
      </c>
      <c r="D17" s="59" t="s">
        <v>82</v>
      </c>
      <c r="E17" s="59" t="s">
        <v>82</v>
      </c>
      <c r="F17" s="58"/>
    </row>
    <row r="18" spans="1:6" x14ac:dyDescent="0.2">
      <c r="A18" s="58"/>
      <c r="B18" s="59" t="s">
        <v>91</v>
      </c>
      <c r="C18" s="62" t="s">
        <v>10</v>
      </c>
      <c r="D18" s="62" t="s">
        <v>10</v>
      </c>
      <c r="E18" s="62" t="s">
        <v>10</v>
      </c>
      <c r="F18" s="58"/>
    </row>
    <row r="19" spans="1:6" x14ac:dyDescent="0.2">
      <c r="A19" s="58"/>
      <c r="B19" s="59" t="s">
        <v>92</v>
      </c>
      <c r="C19" s="62" t="s">
        <v>49</v>
      </c>
      <c r="D19" s="62" t="s">
        <v>213</v>
      </c>
      <c r="E19" s="62" t="s">
        <v>114</v>
      </c>
      <c r="F19" s="58"/>
    </row>
    <row r="20" spans="1:6" x14ac:dyDescent="0.2">
      <c r="A20" s="58"/>
      <c r="B20" s="59" t="s">
        <v>94</v>
      </c>
      <c r="C20" s="62" t="s">
        <v>16</v>
      </c>
      <c r="D20" s="62" t="s">
        <v>214</v>
      </c>
      <c r="E20" s="62" t="s">
        <v>214</v>
      </c>
      <c r="F20" s="58"/>
    </row>
    <row r="21" spans="1:6" x14ac:dyDescent="0.2">
      <c r="A21" s="58"/>
      <c r="B21" s="59" t="s">
        <v>95</v>
      </c>
      <c r="C21" s="59" t="s">
        <v>11</v>
      </c>
      <c r="D21" s="59" t="s">
        <v>215</v>
      </c>
      <c r="E21" s="59" t="s">
        <v>215</v>
      </c>
      <c r="F21" s="58"/>
    </row>
    <row r="22" spans="1:6" x14ac:dyDescent="0.2">
      <c r="A22" s="58"/>
      <c r="B22" s="59" t="s">
        <v>98</v>
      </c>
      <c r="C22" s="59" t="s">
        <v>12</v>
      </c>
      <c r="D22" s="59" t="s">
        <v>96</v>
      </c>
      <c r="E22" s="59" t="s">
        <v>97</v>
      </c>
      <c r="F22" s="58"/>
    </row>
    <row r="23" spans="1:6" x14ac:dyDescent="0.2">
      <c r="A23" s="58"/>
      <c r="B23" s="59" t="s">
        <v>116</v>
      </c>
      <c r="C23" s="59" t="s">
        <v>3</v>
      </c>
      <c r="D23" s="59" t="s">
        <v>3</v>
      </c>
      <c r="E23" s="59" t="s">
        <v>99</v>
      </c>
      <c r="F23" s="58"/>
    </row>
    <row r="24" spans="1:6" x14ac:dyDescent="0.2">
      <c r="A24" s="58"/>
      <c r="B24" s="58"/>
      <c r="C24" s="58"/>
      <c r="D24" s="58"/>
      <c r="E24" s="58"/>
      <c r="F24" s="58"/>
    </row>
    <row r="25" spans="1:6" x14ac:dyDescent="0.2">
      <c r="A25" s="58"/>
      <c r="B25" s="58"/>
      <c r="C25" s="58"/>
      <c r="D25" s="58"/>
      <c r="E25" s="58"/>
      <c r="F25" s="58"/>
    </row>
    <row r="26" spans="1:6" x14ac:dyDescent="0.2">
      <c r="A26" s="58" t="s">
        <v>115</v>
      </c>
      <c r="B26" s="59" t="s">
        <v>101</v>
      </c>
      <c r="C26" s="59" t="s">
        <v>41</v>
      </c>
      <c r="D26" s="59" t="s">
        <v>197</v>
      </c>
      <c r="E26" s="59" t="s">
        <v>198</v>
      </c>
      <c r="F26" s="58"/>
    </row>
    <row r="27" spans="1:6" x14ac:dyDescent="0.2">
      <c r="A27" s="58" t="s">
        <v>117</v>
      </c>
      <c r="B27" s="63" t="s">
        <v>102</v>
      </c>
      <c r="C27" s="64" t="s">
        <v>103</v>
      </c>
      <c r="D27" s="64" t="s">
        <v>104</v>
      </c>
      <c r="E27" s="64" t="s">
        <v>105</v>
      </c>
      <c r="F27" s="58"/>
    </row>
    <row r="28" spans="1:6" x14ac:dyDescent="0.2">
      <c r="A28" s="58"/>
      <c r="B28" s="58"/>
      <c r="C28" s="58"/>
      <c r="D28" s="58"/>
      <c r="E28" s="58"/>
      <c r="F28" s="58"/>
    </row>
    <row r="29" spans="1:6" x14ac:dyDescent="0.2">
      <c r="A29" s="60"/>
      <c r="B29" s="61"/>
      <c r="C29" s="58"/>
      <c r="D29" s="58"/>
      <c r="E29" s="58"/>
      <c r="F29" s="58"/>
    </row>
    <row r="30" spans="1:6" ht="25.5" x14ac:dyDescent="0.2">
      <c r="A30" s="60" t="s">
        <v>106</v>
      </c>
      <c r="B30" s="59" t="s">
        <v>107</v>
      </c>
      <c r="C30" s="59" t="s">
        <v>42</v>
      </c>
      <c r="D30" s="59" t="s">
        <v>200</v>
      </c>
      <c r="E30" s="59" t="s">
        <v>199</v>
      </c>
      <c r="F30" s="58"/>
    </row>
    <row r="31" spans="1:6" x14ac:dyDescent="0.2">
      <c r="A31" s="60"/>
      <c r="B31" s="58"/>
      <c r="C31" s="58"/>
      <c r="D31" s="58"/>
      <c r="E31" s="58"/>
      <c r="F31" s="58"/>
    </row>
    <row r="32" spans="1:6" x14ac:dyDescent="0.2">
      <c r="A32" s="60" t="s">
        <v>139</v>
      </c>
      <c r="B32" s="59" t="s">
        <v>108</v>
      </c>
      <c r="C32" s="59" t="s">
        <v>4</v>
      </c>
      <c r="D32" s="59" t="s">
        <v>110</v>
      </c>
      <c r="E32" s="59" t="s">
        <v>110</v>
      </c>
      <c r="F32" s="58"/>
    </row>
    <row r="33" spans="1:6" x14ac:dyDescent="0.2">
      <c r="A33" s="58"/>
      <c r="B33" s="59" t="s">
        <v>109</v>
      </c>
      <c r="C33" s="59" t="s">
        <v>5</v>
      </c>
      <c r="D33" s="59" t="s">
        <v>112</v>
      </c>
      <c r="E33" s="59" t="s">
        <v>112</v>
      </c>
      <c r="F33" s="58"/>
    </row>
    <row r="34" spans="1:6" x14ac:dyDescent="0.2">
      <c r="A34" s="58"/>
      <c r="B34" s="59" t="s">
        <v>111</v>
      </c>
      <c r="C34" s="59" t="s">
        <v>14</v>
      </c>
      <c r="D34" s="59" t="s">
        <v>113</v>
      </c>
      <c r="E34" s="59" t="s">
        <v>113</v>
      </c>
      <c r="F34" s="58"/>
    </row>
    <row r="35" spans="1:6" x14ac:dyDescent="0.2">
      <c r="A35" s="58"/>
      <c r="B35" s="58"/>
      <c r="C35" s="58"/>
      <c r="D35" s="58"/>
      <c r="E35" s="58"/>
      <c r="F35" s="58"/>
    </row>
    <row r="36" spans="1:6" x14ac:dyDescent="0.2">
      <c r="A36" s="58"/>
      <c r="B36" s="58"/>
      <c r="C36" s="58"/>
      <c r="D36" s="58"/>
      <c r="E36" s="58"/>
      <c r="F36" s="58"/>
    </row>
    <row r="37" spans="1:6" ht="25.5" x14ac:dyDescent="0.2">
      <c r="A37" s="60" t="s">
        <v>106</v>
      </c>
      <c r="B37" s="59" t="s">
        <v>118</v>
      </c>
      <c r="C37" s="59" t="s">
        <v>119</v>
      </c>
      <c r="D37" s="59" t="s">
        <v>201</v>
      </c>
      <c r="E37" s="59" t="s">
        <v>202</v>
      </c>
      <c r="F37" s="58"/>
    </row>
    <row r="38" spans="1:6" x14ac:dyDescent="0.2">
      <c r="A38" s="60"/>
      <c r="B38" s="58"/>
      <c r="C38" s="58"/>
      <c r="D38" s="58"/>
      <c r="E38" s="58"/>
      <c r="F38" s="58"/>
    </row>
    <row r="39" spans="1:6" x14ac:dyDescent="0.2">
      <c r="A39" s="58"/>
      <c r="B39" s="59" t="s">
        <v>120</v>
      </c>
      <c r="C39" s="59" t="s">
        <v>0</v>
      </c>
      <c r="D39" s="59" t="s">
        <v>68</v>
      </c>
      <c r="E39" s="59" t="s">
        <v>69</v>
      </c>
      <c r="F39" s="58"/>
    </row>
    <row r="40" spans="1:6" x14ac:dyDescent="0.2">
      <c r="A40" s="58"/>
      <c r="B40" s="59" t="s">
        <v>121</v>
      </c>
      <c r="C40" s="59" t="s">
        <v>47</v>
      </c>
      <c r="D40" s="59" t="s">
        <v>71</v>
      </c>
      <c r="E40" s="59" t="s">
        <v>72</v>
      </c>
      <c r="F40" s="58"/>
    </row>
    <row r="41" spans="1:6" x14ac:dyDescent="0.2">
      <c r="A41" s="58"/>
      <c r="B41" s="59" t="s">
        <v>122</v>
      </c>
      <c r="C41" s="59" t="s">
        <v>1</v>
      </c>
      <c r="D41" s="59" t="s">
        <v>74</v>
      </c>
      <c r="E41" s="59" t="s">
        <v>75</v>
      </c>
      <c r="F41" s="58"/>
    </row>
    <row r="42" spans="1:6" x14ac:dyDescent="0.2">
      <c r="A42" s="58"/>
      <c r="B42" s="59" t="s">
        <v>123</v>
      </c>
      <c r="C42" s="59" t="s">
        <v>6</v>
      </c>
      <c r="D42" s="59" t="s">
        <v>77</v>
      </c>
      <c r="E42" s="59" t="s">
        <v>77</v>
      </c>
      <c r="F42" s="58"/>
    </row>
    <row r="43" spans="1:6" x14ac:dyDescent="0.2">
      <c r="A43" s="58"/>
      <c r="B43" s="59" t="s">
        <v>124</v>
      </c>
      <c r="C43" s="59" t="s">
        <v>2</v>
      </c>
      <c r="D43" s="59" t="s">
        <v>79</v>
      </c>
      <c r="E43" s="59" t="s">
        <v>80</v>
      </c>
      <c r="F43" s="58"/>
    </row>
    <row r="44" spans="1:6" x14ac:dyDescent="0.2">
      <c r="A44" s="58"/>
      <c r="B44" s="59" t="s">
        <v>125</v>
      </c>
      <c r="C44" s="59" t="s">
        <v>7</v>
      </c>
      <c r="D44" s="59" t="s">
        <v>84</v>
      </c>
      <c r="E44" s="59" t="s">
        <v>85</v>
      </c>
      <c r="F44" s="58"/>
    </row>
    <row r="45" spans="1:6" x14ac:dyDescent="0.2">
      <c r="A45" s="58"/>
      <c r="B45" s="59" t="s">
        <v>126</v>
      </c>
      <c r="C45" s="59" t="s">
        <v>48</v>
      </c>
      <c r="D45" s="59" t="s">
        <v>216</v>
      </c>
      <c r="E45" s="59" t="s">
        <v>216</v>
      </c>
      <c r="F45" s="58"/>
    </row>
    <row r="46" spans="1:6" x14ac:dyDescent="0.2">
      <c r="A46" s="58"/>
      <c r="B46" s="59" t="s">
        <v>127</v>
      </c>
      <c r="C46" s="59" t="s">
        <v>8</v>
      </c>
      <c r="D46" s="59" t="s">
        <v>87</v>
      </c>
      <c r="E46" s="59" t="s">
        <v>87</v>
      </c>
      <c r="F46" s="58"/>
    </row>
    <row r="47" spans="1:6" x14ac:dyDescent="0.2">
      <c r="A47" s="58"/>
      <c r="B47" s="59" t="s">
        <v>128</v>
      </c>
      <c r="C47" s="59" t="s">
        <v>9</v>
      </c>
      <c r="D47" s="59" t="s">
        <v>89</v>
      </c>
      <c r="E47" s="59" t="s">
        <v>89</v>
      </c>
      <c r="F47" s="58"/>
    </row>
    <row r="48" spans="1:6" x14ac:dyDescent="0.2">
      <c r="A48" s="58"/>
      <c r="B48" s="59" t="s">
        <v>129</v>
      </c>
      <c r="C48" s="59" t="s">
        <v>17</v>
      </c>
      <c r="D48" s="59" t="s">
        <v>82</v>
      </c>
      <c r="E48" s="59" t="s">
        <v>82</v>
      </c>
      <c r="F48" s="58"/>
    </row>
    <row r="49" spans="1:6" x14ac:dyDescent="0.2">
      <c r="A49" s="58"/>
      <c r="B49" s="59" t="s">
        <v>130</v>
      </c>
      <c r="C49" s="62" t="s">
        <v>10</v>
      </c>
      <c r="D49" s="62" t="s">
        <v>10</v>
      </c>
      <c r="E49" s="62" t="s">
        <v>10</v>
      </c>
      <c r="F49" s="58"/>
    </row>
    <row r="50" spans="1:6" x14ac:dyDescent="0.2">
      <c r="A50" s="58"/>
      <c r="B50" s="59" t="s">
        <v>131</v>
      </c>
      <c r="C50" s="62" t="s">
        <v>49</v>
      </c>
      <c r="D50" s="62" t="s">
        <v>213</v>
      </c>
      <c r="E50" s="62" t="s">
        <v>114</v>
      </c>
      <c r="F50" s="58"/>
    </row>
    <row r="51" spans="1:6" x14ac:dyDescent="0.2">
      <c r="A51" s="58"/>
      <c r="B51" s="59" t="s">
        <v>132</v>
      </c>
      <c r="C51" s="62" t="s">
        <v>16</v>
      </c>
      <c r="D51" s="62" t="s">
        <v>214</v>
      </c>
      <c r="E51" s="62" t="s">
        <v>214</v>
      </c>
      <c r="F51" s="58"/>
    </row>
    <row r="52" spans="1:6" x14ac:dyDescent="0.2">
      <c r="A52" s="58"/>
      <c r="B52" s="59" t="s">
        <v>133</v>
      </c>
      <c r="C52" s="59" t="s">
        <v>11</v>
      </c>
      <c r="D52" s="59" t="s">
        <v>215</v>
      </c>
      <c r="E52" s="59" t="s">
        <v>215</v>
      </c>
      <c r="F52" s="58"/>
    </row>
    <row r="53" spans="1:6" x14ac:dyDescent="0.2">
      <c r="A53" s="58"/>
      <c r="B53" s="59" t="s">
        <v>134</v>
      </c>
      <c r="C53" s="62" t="s">
        <v>28</v>
      </c>
      <c r="D53" s="62" t="s">
        <v>93</v>
      </c>
      <c r="E53" s="62" t="s">
        <v>93</v>
      </c>
      <c r="F53" s="58"/>
    </row>
    <row r="54" spans="1:6" x14ac:dyDescent="0.2">
      <c r="A54" s="58"/>
      <c r="B54" s="59" t="s">
        <v>135</v>
      </c>
      <c r="C54" s="59" t="s">
        <v>12</v>
      </c>
      <c r="D54" s="59" t="s">
        <v>96</v>
      </c>
      <c r="E54" s="59" t="s">
        <v>97</v>
      </c>
      <c r="F54" s="58"/>
    </row>
    <row r="55" spans="1:6" x14ac:dyDescent="0.2">
      <c r="A55" s="58"/>
      <c r="B55" s="59" t="s">
        <v>136</v>
      </c>
      <c r="C55" s="59" t="s">
        <v>3</v>
      </c>
      <c r="D55" s="59" t="s">
        <v>3</v>
      </c>
      <c r="E55" s="59" t="s">
        <v>99</v>
      </c>
      <c r="F55" s="58"/>
    </row>
    <row r="56" spans="1:6" x14ac:dyDescent="0.2">
      <c r="A56" s="58"/>
      <c r="B56" s="59" t="s">
        <v>137</v>
      </c>
      <c r="C56" s="59" t="s">
        <v>13</v>
      </c>
      <c r="D56" s="59" t="s">
        <v>203</v>
      </c>
      <c r="E56" s="59" t="s">
        <v>204</v>
      </c>
      <c r="F56" s="58"/>
    </row>
    <row r="57" spans="1:6" x14ac:dyDescent="0.2">
      <c r="A57" s="60"/>
      <c r="B57" s="58"/>
      <c r="C57" s="58"/>
      <c r="D57" s="58"/>
      <c r="E57" s="58"/>
      <c r="F57" s="58"/>
    </row>
    <row r="58" spans="1:6" x14ac:dyDescent="0.2">
      <c r="A58" s="60" t="s">
        <v>148</v>
      </c>
      <c r="B58" s="59" t="s">
        <v>149</v>
      </c>
      <c r="C58" s="59" t="s">
        <v>138</v>
      </c>
      <c r="D58" s="59" t="s">
        <v>205</v>
      </c>
      <c r="E58" s="59" t="s">
        <v>206</v>
      </c>
      <c r="F58" s="58"/>
    </row>
    <row r="59" spans="1:6" x14ac:dyDescent="0.2">
      <c r="A59" s="60"/>
      <c r="B59" s="58"/>
      <c r="C59" s="58"/>
      <c r="D59" s="58"/>
      <c r="E59" s="58"/>
      <c r="F59" s="58"/>
    </row>
    <row r="60" spans="1:6" x14ac:dyDescent="0.2">
      <c r="A60" s="60"/>
      <c r="B60" s="58"/>
      <c r="C60" s="58"/>
      <c r="D60" s="58"/>
      <c r="E60" s="58"/>
      <c r="F60" s="58"/>
    </row>
    <row r="61" spans="1:6" ht="25.5" x14ac:dyDescent="0.2">
      <c r="A61" s="58"/>
      <c r="B61" s="59" t="s">
        <v>191</v>
      </c>
      <c r="C61" s="59" t="s">
        <v>151</v>
      </c>
      <c r="D61" s="59" t="s">
        <v>208</v>
      </c>
      <c r="E61" s="59" t="s">
        <v>207</v>
      </c>
      <c r="F61" s="58"/>
    </row>
    <row r="62" spans="1:6" x14ac:dyDescent="0.2">
      <c r="A62" s="60"/>
      <c r="B62" s="58"/>
      <c r="C62" s="58"/>
      <c r="D62" s="58"/>
      <c r="E62" s="58"/>
      <c r="F62" s="58"/>
    </row>
    <row r="63" spans="1:6" x14ac:dyDescent="0.2">
      <c r="A63" s="58" t="s">
        <v>150</v>
      </c>
      <c r="B63" s="59" t="s">
        <v>140</v>
      </c>
      <c r="C63" s="59" t="s">
        <v>0</v>
      </c>
      <c r="D63" s="59" t="s">
        <v>68</v>
      </c>
      <c r="E63" s="59" t="s">
        <v>69</v>
      </c>
      <c r="F63" s="58"/>
    </row>
    <row r="64" spans="1:6" x14ac:dyDescent="0.2">
      <c r="A64" s="58"/>
      <c r="B64" s="59" t="s">
        <v>141</v>
      </c>
      <c r="C64" s="59" t="s">
        <v>47</v>
      </c>
      <c r="D64" s="59" t="s">
        <v>71</v>
      </c>
      <c r="E64" s="59" t="s">
        <v>72</v>
      </c>
      <c r="F64" s="58"/>
    </row>
    <row r="65" spans="1:6" x14ac:dyDescent="0.2">
      <c r="A65" s="58"/>
      <c r="B65" s="59" t="s">
        <v>142</v>
      </c>
      <c r="C65" s="59" t="s">
        <v>1</v>
      </c>
      <c r="D65" s="59" t="s">
        <v>74</v>
      </c>
      <c r="E65" s="59" t="s">
        <v>75</v>
      </c>
      <c r="F65" s="58"/>
    </row>
    <row r="66" spans="1:6" x14ac:dyDescent="0.2">
      <c r="A66" s="58"/>
      <c r="B66" s="59" t="s">
        <v>143</v>
      </c>
      <c r="C66" s="59" t="s">
        <v>6</v>
      </c>
      <c r="D66" s="59" t="s">
        <v>77</v>
      </c>
      <c r="E66" s="59" t="s">
        <v>77</v>
      </c>
      <c r="F66" s="58"/>
    </row>
    <row r="67" spans="1:6" x14ac:dyDescent="0.2">
      <c r="A67" s="58"/>
      <c r="B67" s="59" t="s">
        <v>144</v>
      </c>
      <c r="C67" s="59" t="s">
        <v>2</v>
      </c>
      <c r="D67" s="59" t="s">
        <v>79</v>
      </c>
      <c r="E67" s="59" t="s">
        <v>80</v>
      </c>
      <c r="F67" s="58"/>
    </row>
    <row r="68" spans="1:6" x14ac:dyDescent="0.2">
      <c r="A68" s="58"/>
      <c r="B68" s="59" t="s">
        <v>145</v>
      </c>
      <c r="C68" s="59" t="s">
        <v>9</v>
      </c>
      <c r="D68" s="59" t="s">
        <v>89</v>
      </c>
      <c r="E68" s="59" t="s">
        <v>89</v>
      </c>
      <c r="F68" s="58"/>
    </row>
    <row r="69" spans="1:6" x14ac:dyDescent="0.2">
      <c r="A69" s="58"/>
      <c r="B69" s="59" t="s">
        <v>146</v>
      </c>
      <c r="C69" s="59" t="s">
        <v>17</v>
      </c>
      <c r="D69" s="59" t="s">
        <v>82</v>
      </c>
      <c r="E69" s="59" t="s">
        <v>82</v>
      </c>
      <c r="F69" s="58"/>
    </row>
    <row r="70" spans="1:6" x14ac:dyDescent="0.2">
      <c r="A70" s="58"/>
      <c r="B70" s="59" t="s">
        <v>147</v>
      </c>
      <c r="C70" s="59" t="s">
        <v>3</v>
      </c>
      <c r="D70" s="59" t="s">
        <v>3</v>
      </c>
      <c r="E70" s="59" t="s">
        <v>99</v>
      </c>
      <c r="F70" s="58"/>
    </row>
    <row r="71" spans="1:6" x14ac:dyDescent="0.2">
      <c r="A71" s="60"/>
      <c r="B71" s="58"/>
      <c r="C71" s="58"/>
      <c r="D71" s="58"/>
      <c r="E71" s="58"/>
      <c r="F71" s="58"/>
    </row>
    <row r="72" spans="1:6" x14ac:dyDescent="0.2">
      <c r="A72" s="60"/>
      <c r="B72" s="58"/>
      <c r="C72" s="58"/>
      <c r="D72" s="58"/>
      <c r="E72" s="58"/>
      <c r="F72" s="58"/>
    </row>
    <row r="73" spans="1:6" x14ac:dyDescent="0.2">
      <c r="A73" s="58" t="s">
        <v>152</v>
      </c>
      <c r="B73" s="59" t="s">
        <v>192</v>
      </c>
      <c r="C73" s="59" t="s">
        <v>44</v>
      </c>
      <c r="D73" s="59" t="s">
        <v>209</v>
      </c>
      <c r="E73" s="59" t="s">
        <v>210</v>
      </c>
      <c r="F73" s="58"/>
    </row>
    <row r="74" spans="1:6" x14ac:dyDescent="0.2">
      <c r="A74" s="60"/>
      <c r="B74" s="58"/>
      <c r="C74" s="58"/>
      <c r="D74" s="58"/>
      <c r="E74" s="58"/>
      <c r="F74" s="58"/>
    </row>
    <row r="75" spans="1:6" x14ac:dyDescent="0.2">
      <c r="A75" s="58"/>
      <c r="B75" s="62" t="s">
        <v>153</v>
      </c>
      <c r="C75" s="62" t="s">
        <v>49</v>
      </c>
      <c r="D75" s="62" t="s">
        <v>213</v>
      </c>
      <c r="E75" s="62" t="s">
        <v>114</v>
      </c>
      <c r="F75" s="58"/>
    </row>
    <row r="76" spans="1:6" x14ac:dyDescent="0.2">
      <c r="A76" s="58"/>
      <c r="B76" s="62" t="s">
        <v>154</v>
      </c>
      <c r="C76" s="62" t="s">
        <v>47</v>
      </c>
      <c r="D76" s="62" t="s">
        <v>71</v>
      </c>
      <c r="E76" s="62" t="s">
        <v>72</v>
      </c>
      <c r="F76" s="58"/>
    </row>
    <row r="77" spans="1:6" x14ac:dyDescent="0.2">
      <c r="A77" s="58"/>
      <c r="B77" s="62" t="s">
        <v>155</v>
      </c>
      <c r="C77" s="62" t="s">
        <v>0</v>
      </c>
      <c r="D77" s="62" t="s">
        <v>68</v>
      </c>
      <c r="E77" s="62" t="s">
        <v>69</v>
      </c>
      <c r="F77" s="58"/>
    </row>
    <row r="78" spans="1:6" x14ac:dyDescent="0.2">
      <c r="A78" s="58"/>
      <c r="B78" s="62" t="s">
        <v>156</v>
      </c>
      <c r="C78" s="62" t="s">
        <v>1</v>
      </c>
      <c r="D78" s="62" t="s">
        <v>74</v>
      </c>
      <c r="E78" s="62" t="s">
        <v>75</v>
      </c>
      <c r="F78" s="58"/>
    </row>
    <row r="79" spans="1:6" x14ac:dyDescent="0.2">
      <c r="A79" s="58"/>
      <c r="B79" s="62" t="s">
        <v>157</v>
      </c>
      <c r="C79" s="62" t="s">
        <v>6</v>
      </c>
      <c r="D79" s="62" t="s">
        <v>77</v>
      </c>
      <c r="E79" s="62" t="s">
        <v>77</v>
      </c>
      <c r="F79" s="58"/>
    </row>
    <row r="80" spans="1:6" x14ac:dyDescent="0.2">
      <c r="A80" s="58"/>
      <c r="B80" s="62" t="s">
        <v>158</v>
      </c>
      <c r="C80" s="62" t="s">
        <v>2</v>
      </c>
      <c r="D80" s="62" t="s">
        <v>79</v>
      </c>
      <c r="E80" s="62" t="s">
        <v>80</v>
      </c>
      <c r="F80" s="58"/>
    </row>
    <row r="81" spans="1:6" x14ac:dyDescent="0.2">
      <c r="A81" s="58"/>
      <c r="B81" s="62" t="s">
        <v>159</v>
      </c>
      <c r="C81" s="62" t="s">
        <v>18</v>
      </c>
      <c r="D81" s="62" t="s">
        <v>217</v>
      </c>
      <c r="E81" s="62" t="s">
        <v>217</v>
      </c>
      <c r="F81" s="58"/>
    </row>
    <row r="82" spans="1:6" x14ac:dyDescent="0.2">
      <c r="A82" s="58"/>
      <c r="B82" s="62" t="s">
        <v>160</v>
      </c>
      <c r="C82" s="62" t="s">
        <v>7</v>
      </c>
      <c r="D82" s="62" t="s">
        <v>84</v>
      </c>
      <c r="E82" s="62" t="s">
        <v>85</v>
      </c>
      <c r="F82" s="58"/>
    </row>
    <row r="83" spans="1:6" x14ac:dyDescent="0.2">
      <c r="A83" s="58"/>
      <c r="B83" s="62" t="s">
        <v>161</v>
      </c>
      <c r="C83" s="62" t="s">
        <v>8</v>
      </c>
      <c r="D83" s="62" t="s">
        <v>87</v>
      </c>
      <c r="E83" s="62" t="s">
        <v>87</v>
      </c>
      <c r="F83" s="58"/>
    </row>
    <row r="84" spans="1:6" x14ac:dyDescent="0.2">
      <c r="A84" s="58"/>
      <c r="B84" s="62" t="s">
        <v>162</v>
      </c>
      <c r="C84" s="62" t="s">
        <v>9</v>
      </c>
      <c r="D84" s="62" t="s">
        <v>89</v>
      </c>
      <c r="E84" s="62" t="s">
        <v>89</v>
      </c>
      <c r="F84" s="58"/>
    </row>
    <row r="85" spans="1:6" x14ac:dyDescent="0.2">
      <c r="A85" s="58"/>
      <c r="B85" s="62" t="s">
        <v>163</v>
      </c>
      <c r="C85" s="62" t="s">
        <v>17</v>
      </c>
      <c r="D85" s="62" t="s">
        <v>82</v>
      </c>
      <c r="E85" s="62" t="s">
        <v>82</v>
      </c>
      <c r="F85" s="58"/>
    </row>
    <row r="86" spans="1:6" x14ac:dyDescent="0.2">
      <c r="A86" s="58"/>
      <c r="B86" s="62" t="s">
        <v>164</v>
      </c>
      <c r="C86" s="62" t="s">
        <v>15</v>
      </c>
      <c r="D86" s="62" t="s">
        <v>216</v>
      </c>
      <c r="E86" s="62" t="s">
        <v>216</v>
      </c>
      <c r="F86" s="58"/>
    </row>
    <row r="87" spans="1:6" x14ac:dyDescent="0.2">
      <c r="A87" s="58"/>
      <c r="B87" s="62" t="s">
        <v>165</v>
      </c>
      <c r="C87" s="62" t="s">
        <v>10</v>
      </c>
      <c r="D87" s="62" t="s">
        <v>10</v>
      </c>
      <c r="E87" s="62" t="s">
        <v>10</v>
      </c>
      <c r="F87" s="58"/>
    </row>
    <row r="88" spans="1:6" x14ac:dyDescent="0.2">
      <c r="A88" s="58"/>
      <c r="B88" s="62" t="s">
        <v>166</v>
      </c>
      <c r="C88" s="62" t="s">
        <v>11</v>
      </c>
      <c r="D88" s="62" t="s">
        <v>215</v>
      </c>
      <c r="E88" s="62" t="s">
        <v>215</v>
      </c>
      <c r="F88" s="58"/>
    </row>
    <row r="89" spans="1:6" x14ac:dyDescent="0.2">
      <c r="A89" s="58"/>
      <c r="B89" s="62" t="s">
        <v>167</v>
      </c>
      <c r="C89" s="62" t="s">
        <v>12</v>
      </c>
      <c r="D89" s="62" t="s">
        <v>96</v>
      </c>
      <c r="E89" s="62" t="s">
        <v>97</v>
      </c>
      <c r="F89" s="58"/>
    </row>
    <row r="90" spans="1:6" ht="25.5" x14ac:dyDescent="0.2">
      <c r="A90" s="58"/>
      <c r="B90" s="62" t="s">
        <v>168</v>
      </c>
      <c r="C90" s="62" t="s">
        <v>29</v>
      </c>
      <c r="D90" s="62" t="s">
        <v>212</v>
      </c>
      <c r="E90" s="62" t="s">
        <v>211</v>
      </c>
      <c r="F90" s="58"/>
    </row>
    <row r="91" spans="1:6" x14ac:dyDescent="0.2">
      <c r="A91" s="58"/>
      <c r="B91" s="59" t="s">
        <v>169</v>
      </c>
      <c r="C91" s="62" t="s">
        <v>28</v>
      </c>
      <c r="D91" s="62" t="s">
        <v>93</v>
      </c>
      <c r="E91" s="62" t="s">
        <v>93</v>
      </c>
      <c r="F91" s="58"/>
    </row>
    <row r="92" spans="1:6" x14ac:dyDescent="0.2">
      <c r="A92" s="60"/>
      <c r="B92" s="58"/>
      <c r="C92" s="58"/>
      <c r="D92" s="58"/>
      <c r="E92" s="58"/>
      <c r="F92" s="58"/>
    </row>
    <row r="93" spans="1:6" x14ac:dyDescent="0.2">
      <c r="A93" s="58"/>
      <c r="B93" s="59" t="s">
        <v>170</v>
      </c>
      <c r="C93" s="59" t="s">
        <v>51</v>
      </c>
      <c r="D93" s="59" t="s">
        <v>218</v>
      </c>
      <c r="E93" s="59" t="s">
        <v>219</v>
      </c>
      <c r="F93" s="58"/>
    </row>
    <row r="94" spans="1:6" ht="25.5" x14ac:dyDescent="0.2">
      <c r="A94" s="58"/>
      <c r="B94" s="59" t="s">
        <v>171</v>
      </c>
      <c r="C94" s="59" t="s">
        <v>50</v>
      </c>
      <c r="D94" s="59" t="s">
        <v>221</v>
      </c>
      <c r="E94" s="59" t="s">
        <v>220</v>
      </c>
      <c r="F94" s="58"/>
    </row>
    <row r="95" spans="1:6" x14ac:dyDescent="0.2">
      <c r="A95" s="58"/>
      <c r="B95" s="59" t="s">
        <v>172</v>
      </c>
      <c r="C95" s="59" t="s">
        <v>31</v>
      </c>
      <c r="D95" s="59" t="s">
        <v>222</v>
      </c>
      <c r="E95" s="59" t="s">
        <v>223</v>
      </c>
      <c r="F95" s="58"/>
    </row>
    <row r="96" spans="1:6" ht="38.25" x14ac:dyDescent="0.2">
      <c r="A96" s="58"/>
      <c r="B96" s="59" t="s">
        <v>173</v>
      </c>
      <c r="C96" s="59" t="s">
        <v>32</v>
      </c>
      <c r="D96" s="59" t="s">
        <v>246</v>
      </c>
      <c r="E96" s="59" t="s">
        <v>245</v>
      </c>
      <c r="F96" s="58"/>
    </row>
    <row r="97" spans="1:6" x14ac:dyDescent="0.2">
      <c r="A97" s="58"/>
      <c r="B97" s="59" t="s">
        <v>174</v>
      </c>
      <c r="C97" s="59" t="s">
        <v>27</v>
      </c>
      <c r="D97" s="59" t="s">
        <v>241</v>
      </c>
      <c r="E97" s="59" t="s">
        <v>240</v>
      </c>
      <c r="F97" s="58"/>
    </row>
    <row r="98" spans="1:6" x14ac:dyDescent="0.2">
      <c r="A98" s="58"/>
      <c r="B98" s="59" t="s">
        <v>175</v>
      </c>
      <c r="C98" s="59" t="s">
        <v>19</v>
      </c>
      <c r="D98" s="59" t="s">
        <v>239</v>
      </c>
      <c r="E98" s="59" t="s">
        <v>238</v>
      </c>
      <c r="F98" s="58"/>
    </row>
    <row r="99" spans="1:6" x14ac:dyDescent="0.2">
      <c r="A99" s="58"/>
      <c r="B99" s="59" t="s">
        <v>176</v>
      </c>
      <c r="C99" s="59" t="s">
        <v>33</v>
      </c>
      <c r="D99" s="59" t="s">
        <v>236</v>
      </c>
      <c r="E99" s="59" t="s">
        <v>237</v>
      </c>
      <c r="F99" s="58"/>
    </row>
    <row r="100" spans="1:6" x14ac:dyDescent="0.2">
      <c r="A100" s="58"/>
      <c r="B100" s="59" t="s">
        <v>177</v>
      </c>
      <c r="C100" s="59" t="s">
        <v>34</v>
      </c>
      <c r="D100" s="59" t="s">
        <v>248</v>
      </c>
      <c r="E100" s="59" t="s">
        <v>247</v>
      </c>
      <c r="F100" s="58"/>
    </row>
    <row r="101" spans="1:6" ht="14.25" x14ac:dyDescent="0.2">
      <c r="A101" s="58"/>
      <c r="B101" s="59" t="s">
        <v>178</v>
      </c>
      <c r="C101" s="59" t="s">
        <v>21</v>
      </c>
      <c r="D101" s="103" t="s">
        <v>243</v>
      </c>
      <c r="E101" s="59" t="s">
        <v>242</v>
      </c>
      <c r="F101" s="58"/>
    </row>
    <row r="102" spans="1:6" x14ac:dyDescent="0.2">
      <c r="A102" s="58"/>
      <c r="B102" s="59" t="s">
        <v>179</v>
      </c>
      <c r="C102" s="59" t="s">
        <v>35</v>
      </c>
      <c r="D102" s="59" t="s">
        <v>261</v>
      </c>
      <c r="E102" s="59" t="s">
        <v>244</v>
      </c>
      <c r="F102" s="58"/>
    </row>
    <row r="103" spans="1:6" x14ac:dyDescent="0.2">
      <c r="A103" s="58"/>
      <c r="B103" s="59" t="s">
        <v>180</v>
      </c>
      <c r="C103" s="59" t="s">
        <v>36</v>
      </c>
      <c r="D103" s="59" t="s">
        <v>250</v>
      </c>
      <c r="E103" s="59" t="s">
        <v>249</v>
      </c>
      <c r="F103" s="58"/>
    </row>
    <row r="104" spans="1:6" x14ac:dyDescent="0.2">
      <c r="A104" s="58"/>
      <c r="B104" s="59" t="s">
        <v>181</v>
      </c>
      <c r="C104" s="59" t="s">
        <v>22</v>
      </c>
      <c r="D104" s="59" t="s">
        <v>252</v>
      </c>
      <c r="E104" s="59" t="s">
        <v>251</v>
      </c>
      <c r="F104" s="58"/>
    </row>
    <row r="105" spans="1:6" ht="25.5" x14ac:dyDescent="0.2">
      <c r="A105" s="58"/>
      <c r="B105" s="59" t="s">
        <v>182</v>
      </c>
      <c r="C105" s="59" t="s">
        <v>23</v>
      </c>
      <c r="D105" s="59" t="s">
        <v>254</v>
      </c>
      <c r="E105" s="59" t="s">
        <v>253</v>
      </c>
      <c r="F105" s="58"/>
    </row>
    <row r="106" spans="1:6" ht="25.5" x14ac:dyDescent="0.2">
      <c r="A106" s="58"/>
      <c r="B106" s="59" t="s">
        <v>185</v>
      </c>
      <c r="C106" s="59" t="s">
        <v>37</v>
      </c>
      <c r="D106" s="59" t="s">
        <v>255</v>
      </c>
      <c r="E106" s="59" t="s">
        <v>256</v>
      </c>
      <c r="F106" s="58"/>
    </row>
    <row r="107" spans="1:6" ht="25.5" x14ac:dyDescent="0.2">
      <c r="A107" s="58"/>
      <c r="B107" s="59" t="s">
        <v>183</v>
      </c>
      <c r="C107" s="59" t="s">
        <v>20</v>
      </c>
      <c r="D107" s="59" t="s">
        <v>232</v>
      </c>
      <c r="E107" s="59" t="s">
        <v>233</v>
      </c>
      <c r="F107" s="58"/>
    </row>
    <row r="108" spans="1:6" ht="25.5" x14ac:dyDescent="0.2">
      <c r="A108" s="58"/>
      <c r="B108" s="59" t="s">
        <v>184</v>
      </c>
      <c r="C108" s="59" t="s">
        <v>38</v>
      </c>
      <c r="D108" s="59" t="s">
        <v>235</v>
      </c>
      <c r="E108" s="59" t="s">
        <v>234</v>
      </c>
      <c r="F108" s="58"/>
    </row>
    <row r="109" spans="1:6" ht="25.5" x14ac:dyDescent="0.2">
      <c r="A109" s="58"/>
      <c r="B109" s="59" t="s">
        <v>186</v>
      </c>
      <c r="C109" s="59" t="s">
        <v>24</v>
      </c>
      <c r="D109" s="59" t="s">
        <v>224</v>
      </c>
      <c r="E109" s="59" t="s">
        <v>225</v>
      </c>
      <c r="F109" s="58"/>
    </row>
    <row r="110" spans="1:6" ht="25.5" x14ac:dyDescent="0.2">
      <c r="A110" s="58"/>
      <c r="B110" s="59" t="s">
        <v>187</v>
      </c>
      <c r="C110" s="59" t="s">
        <v>39</v>
      </c>
      <c r="D110" s="59" t="s">
        <v>258</v>
      </c>
      <c r="E110" s="59" t="s">
        <v>257</v>
      </c>
      <c r="F110" s="58"/>
    </row>
    <row r="111" spans="1:6" ht="25.5" x14ac:dyDescent="0.2">
      <c r="A111" s="58"/>
      <c r="B111" s="59" t="s">
        <v>188</v>
      </c>
      <c r="C111" s="59" t="s">
        <v>25</v>
      </c>
      <c r="D111" s="59" t="s">
        <v>227</v>
      </c>
      <c r="E111" s="59" t="s">
        <v>226</v>
      </c>
      <c r="F111" s="58"/>
    </row>
    <row r="112" spans="1:6" ht="25.5" x14ac:dyDescent="0.2">
      <c r="A112" s="58"/>
      <c r="B112" s="59" t="s">
        <v>189</v>
      </c>
      <c r="C112" s="59" t="s">
        <v>26</v>
      </c>
      <c r="D112" s="59" t="s">
        <v>228</v>
      </c>
      <c r="E112" s="59" t="s">
        <v>229</v>
      </c>
      <c r="F112" s="58"/>
    </row>
    <row r="113" spans="1:6" ht="25.5" x14ac:dyDescent="0.2">
      <c r="A113" s="58"/>
      <c r="B113" s="59" t="s">
        <v>193</v>
      </c>
      <c r="C113" s="59" t="s">
        <v>40</v>
      </c>
      <c r="D113" s="59" t="s">
        <v>231</v>
      </c>
      <c r="E113" s="59" t="s">
        <v>230</v>
      </c>
      <c r="F113" s="58"/>
    </row>
    <row r="114" spans="1:6" ht="64.5" customHeight="1" x14ac:dyDescent="0.2">
      <c r="A114" s="58"/>
      <c r="B114" s="59" t="s">
        <v>194</v>
      </c>
      <c r="C114" s="59" t="s">
        <v>43</v>
      </c>
      <c r="D114" s="59" t="s">
        <v>259</v>
      </c>
      <c r="E114" s="59" t="s">
        <v>260</v>
      </c>
      <c r="F114" s="58"/>
    </row>
    <row r="115" spans="1:6" x14ac:dyDescent="0.2">
      <c r="A115" s="60"/>
      <c r="B115" s="58"/>
      <c r="C115" s="58"/>
      <c r="D115" s="58"/>
      <c r="E115" s="58"/>
      <c r="F115" s="5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2B42AF1050B42830E7D601649B832" ma:contentTypeVersion="6" ma:contentTypeDescription="Ein neues Dokument erstellen." ma:contentTypeScope="" ma:versionID="f4a8b9de0b99fa9e5c2797afc72cd3ec">
  <xsd:schema xmlns:xsd="http://www.w3.org/2001/XMLSchema" xmlns:xs="http://www.w3.org/2001/XMLSchema" xmlns:p="http://schemas.microsoft.com/office/2006/metadata/properties" xmlns:ns1="http://schemas.microsoft.com/sharepoint/v3" xmlns:ns2="2dda44d0-589c-43b4-b831-f67d9c18c93f" targetNamespace="http://schemas.microsoft.com/office/2006/metadata/properties" ma:root="true" ma:fieldsID="fbe637945e0b783f62913eb0768e863e" ns1:_="" ns2:_="">
    <xsd:import namespace="http://schemas.microsoft.com/sharepoint/v3"/>
    <xsd:import namespace="2dda44d0-589c-43b4-b831-f67d9c18c93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a44d0-589c-43b4-b831-f67d9c18c93f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2dda44d0-589c-43b4-b831-f67d9c18c93f">17 Politik</Kategorie>
    <Benutzerdefinierte_x0020_ID xmlns="2dda44d0-589c-43b4-b831-f67d9c18c93f">1001</Benutzerdefinierte_x0020_ID>
    <Titel_DE xmlns="2dda44d0-589c-43b4-b831-f67d9c18c93f">Nationalratswahlen Graubünden, Hauptergebnisse seit 1919</Titel_DE>
    <Titel_RM xmlns="2dda44d0-589c-43b4-b831-f67d9c18c93f">Elecziuns dal Cussegl naziunal en il Grischun – resultats principals dapi l'onn 1919</Titel_RM>
    <Titel_IT xmlns="2dda44d0-589c-43b4-b831-f67d9c18c93f">Elezioni del Consiglio nazionale nei Grigioni - risultati principali dal 1919</Titel_I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FD7D71-AD86-43A9-9D4F-40ACE7494F99}"/>
</file>

<file path=customXml/itemProps2.xml><?xml version="1.0" encoding="utf-8"?>
<ds:datastoreItem xmlns:ds="http://schemas.openxmlformats.org/officeDocument/2006/customXml" ds:itemID="{430B757A-C8B3-42C2-BC71-B25BDAA2DFE2}"/>
</file>

<file path=customXml/itemProps3.xml><?xml version="1.0" encoding="utf-8"?>
<ds:datastoreItem xmlns:ds="http://schemas.openxmlformats.org/officeDocument/2006/customXml" ds:itemID="{80F7E4D1-9374-4F1B-ADEE-ACEE727A4BE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Listen 1971 - 2023</vt:lpstr>
      <vt:lpstr>Kand. + Geschlecht 1971-2023</vt:lpstr>
      <vt:lpstr>Parteienstärken und Mandate</vt:lpstr>
      <vt:lpstr>Mandate nach Geschlecht</vt:lpstr>
      <vt:lpstr>Erläuterungen</vt:lpstr>
      <vt:lpstr>Uebersetzungen</vt:lpstr>
      <vt:lpstr>'Kand. + Geschlecht 1971-2023'!Druckbereich</vt:lpstr>
      <vt:lpstr>'Listen 1971 - 2023'!Druckbereich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Nationalratswahlen Graubünden - Hauptergebnisse seit 1919</dc:title>
  <dc:creator>Gianotti Stefano</dc:creator>
  <cp:lastModifiedBy>Gianotti Stefano</cp:lastModifiedBy>
  <cp:lastPrinted>2014-06-18T09:15:57Z</cp:lastPrinted>
  <dcterms:created xsi:type="dcterms:W3CDTF">2011-04-06T10:42:28Z</dcterms:created>
  <dcterms:modified xsi:type="dcterms:W3CDTF">2024-03-22T09:33:25Z</dcterms:modified>
  <cp:category>Statistik der Nationalratswahlen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0x0101007FB2B42AF1050B42830E7D601649B832</vt:lpwstr>
  </property>
</Properties>
</file>